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60" windowWidth="20730" windowHeight="11640" tabRatio="908" firstSheet="13" activeTab="16"/>
  </bookViews>
  <sheets>
    <sheet name="A-1" sheetId="4" state="hidden" r:id="rId1"/>
    <sheet name="Directors" sheetId="13" state="hidden" r:id="rId2"/>
    <sheet name="ASSEST 1" sheetId="36" state="hidden" r:id="rId3"/>
    <sheet name="ASSEST 2" sheetId="34" state="hidden" r:id="rId4"/>
    <sheet name="ASSEST 3" sheetId="37" state="hidden" r:id="rId5"/>
    <sheet name="ASSET 4" sheetId="35" state="hidden" r:id="rId6"/>
    <sheet name="ASSEST 5" sheetId="32" state="hidden" r:id="rId7"/>
    <sheet name="2d 1" sheetId="5" state="hidden" r:id="rId8"/>
    <sheet name="2d-2" sheetId="6" state="hidden" r:id="rId9"/>
    <sheet name="2d-3" sheetId="23" state="hidden" r:id="rId10"/>
    <sheet name="Directors (2)" sheetId="80" state="hidden" r:id="rId11"/>
    <sheet name="2(a)Assets and Liabilitie Part1" sheetId="82" state="hidden" r:id="rId12"/>
    <sheet name="2(a)Assets and Liabilitie Part2" sheetId="97" state="hidden" r:id="rId13"/>
    <sheet name="2 (d) List of Financial Cred." sheetId="42" r:id="rId14"/>
    <sheet name="Home-buyer" sheetId="110" r:id="rId15"/>
    <sheet name="Claims Trade Creditors" sheetId="96" r:id="rId16"/>
    <sheet name="Form d-employees" sheetId="78" r:id="rId17"/>
    <sheet name="2 g" sheetId="1" state="hidden" r:id="rId18"/>
    <sheet name="Litigation 2 h" sheetId="10" state="hidden" r:id="rId19"/>
    <sheet name="Asssets" sheetId="38" state="hidden" r:id="rId20"/>
    <sheet name="Valuation 2j" sheetId="11" state="hidden" r:id="rId21"/>
    <sheet name="Liquidation value due 2 k" sheetId="20" state="hidden" r:id="rId22"/>
    <sheet name="Sheet1" sheetId="8" state="hidden" r:id="rId23"/>
    <sheet name="List of creditors" sheetId="12" state="hidden" r:id="rId24"/>
    <sheet name="Secuities" sheetId="25" state="hidden" r:id="rId25"/>
    <sheet name=" 2 (i) Workers_Employees Dues" sheetId="24" state="hidden" r:id="rId26"/>
    <sheet name="List of Summons (2)" sheetId="28" state="hidden" r:id="rId27"/>
    <sheet name="List of Litigation" sheetId="29" state="hidden" r:id="rId28"/>
    <sheet name="Civil Suit for Rendiation" sheetId="30" state="hidden" r:id="rId29"/>
    <sheet name="Sheet6" sheetId="31" state="hidden" r:id="rId30"/>
    <sheet name="List of Summons" sheetId="39" state="hidden" r:id="rId31"/>
    <sheet name="litigations" sheetId="40" state="hidden" r:id="rId32"/>
    <sheet name="Tamilnad Bank" sheetId="43" state="hidden" r:id="rId33"/>
    <sheet name="IFCI" sheetId="44" state="hidden" r:id="rId34"/>
    <sheet name="Corporation Bank" sheetId="45" state="hidden" r:id="rId35"/>
    <sheet name="Bank of Baroda" sheetId="46" state="hidden" r:id="rId36"/>
    <sheet name="Canara Bank" sheetId="47" state="hidden" r:id="rId37"/>
    <sheet name="Sheet5" sheetId="67" state="hidden" r:id="rId38"/>
    <sheet name="Sheet4" sheetId="66" state="hidden" r:id="rId39"/>
    <sheet name="2(d) Annexure" sheetId="63" state="hidden" r:id="rId40"/>
    <sheet name="SBI" sheetId="48" state="hidden" r:id="rId41"/>
    <sheet name="IDBI" sheetId="49" state="hidden" r:id="rId42"/>
    <sheet name="Central Bank of India" sheetId="50" state="hidden" r:id="rId43"/>
    <sheet name="UCO Bank" sheetId="51" state="hidden" r:id="rId44"/>
    <sheet name="Dena Bank" sheetId="52" state="hidden" r:id="rId45"/>
    <sheet name="Union Bank Of India" sheetId="53" state="hidden" r:id="rId46"/>
    <sheet name="Sheet2" sheetId="64" state="hidden" r:id="rId47"/>
    <sheet name="Sheet7" sheetId="106" state="hidden" r:id="rId48"/>
    <sheet name="working sheet of claims-1" sheetId="108" state="hidden" r:id="rId49"/>
    <sheet name="working sheet 2" sheetId="109" state="hidden" r:id="rId50"/>
  </sheets>
  <externalReferences>
    <externalReference r:id="rId51"/>
    <externalReference r:id="rId52"/>
    <externalReference r:id="rId53"/>
    <externalReference r:id="rId54"/>
    <externalReference r:id="rId55"/>
  </externalReferences>
  <definedNames>
    <definedName name="_xlnm._FilterDatabase" localSheetId="15" hidden="1">'Claims Trade Creditors'!$C$5:$J$5</definedName>
    <definedName name="_xlnm._FilterDatabase" localSheetId="14" hidden="1">'Home-buyer'!$6:$6</definedName>
    <definedName name="_xlnm._FilterDatabase" localSheetId="30" hidden="1">'List of Summons'!$A$4:$N$225</definedName>
    <definedName name="_xlnm._FilterDatabase" localSheetId="26" hidden="1">'List of Summons (2)'!$A$4:$M$243</definedName>
    <definedName name="_xlnm._FilterDatabase" localSheetId="31" hidden="1">litigations!$A$20:$M$263</definedName>
    <definedName name="_xlnm._FilterDatabase" localSheetId="47" hidden="1">Sheet7!$A$1:$J$96</definedName>
    <definedName name="_xlnm._FilterDatabase" localSheetId="49" hidden="1">'working sheet 2'!$B$1:$B$311</definedName>
    <definedName name="_xlnm._FilterDatabase" localSheetId="48" hidden="1">'working sheet of claims-1'!$B$1:$B$128</definedName>
    <definedName name="aShowDirectorMasterdata" localSheetId="1">Directors!#REF!</definedName>
    <definedName name="aShowDirectorMasterdata" localSheetId="10">'Directors (2)'!$E$15</definedName>
    <definedName name="_xlnm.Print_Area" localSheetId="25">' 2 (i) Workers_Employees Dues'!$A$1:$G$76</definedName>
    <definedName name="_xlnm.Print_Area" localSheetId="13">'2 (d) List of Financial Cred.'!$B$2:$O$27</definedName>
    <definedName name="_xlnm.Print_Area" localSheetId="17">'2 g'!$B$1:$I$26</definedName>
    <definedName name="_xlnm.Print_Area" localSheetId="11">'2(a)Assets and Liabilitie Part1'!$B$2:$D$55</definedName>
    <definedName name="_xlnm.Print_Area" localSheetId="12">'2(a)Assets and Liabilitie Part2'!$C$1:$J$1056</definedName>
    <definedName name="_xlnm.Print_Area" localSheetId="7">'2d 1'!$B$2:$I$23</definedName>
    <definedName name="_xlnm.Print_Area" localSheetId="8">'2d-2'!$B$2:$I$17</definedName>
    <definedName name="_xlnm.Print_Area" localSheetId="9">'2d-3'!$B$2:$I$19</definedName>
    <definedName name="_xlnm.Print_Area" localSheetId="0">'A-1'!$A$1:$E$75</definedName>
    <definedName name="_xlnm.Print_Area" localSheetId="4">'ASSEST 3'!$A$1:$C$25</definedName>
    <definedName name="_xlnm.Print_Area" localSheetId="6">'ASSEST 5'!$A$1:$C$400</definedName>
    <definedName name="_xlnm.Print_Area" localSheetId="19">Asssets!$B$1:$G$56</definedName>
    <definedName name="_xlnm.Print_Area" localSheetId="15">'Claims Trade Creditors'!$A$2:$J$34</definedName>
    <definedName name="_xlnm.Print_Area" localSheetId="1">Directors!$A$1:$G$14</definedName>
    <definedName name="_xlnm.Print_Area" localSheetId="10">'Directors (2)'!$A$1:$E$17</definedName>
    <definedName name="_xlnm.Print_Area" localSheetId="16">'Form d-employees'!$B$2:$H$38</definedName>
    <definedName name="_xlnm.Print_Area" localSheetId="14">'Home-buyer'!$B$5:$T$207</definedName>
    <definedName name="_xlnm.Print_Area" localSheetId="21">'Liquidation value due 2 k'!$A$1:$E$19</definedName>
    <definedName name="_xlnm.Print_Area" localSheetId="18">'Litigation 2 h'!$A$1:$F$209</definedName>
    <definedName name="_xlnm.Print_Area" localSheetId="24">Secuities!$A$1:$I$29</definedName>
    <definedName name="_xlnm.Print_Area" localSheetId="20">'Valuation 2j'!$B$2:$G$62</definedName>
    <definedName name="_xlnm.Print_Titles" localSheetId="11">'2(a)Assets and Liabilitie Part1'!$14:$14</definedName>
    <definedName name="_xlnm.Print_Titles" localSheetId="16">'Form d-employees'!$5:$5</definedName>
    <definedName name="_xlnm.Print_Titles" localSheetId="14">'Home-buyer'!$5:$5</definedName>
    <definedName name="_xlnm.Print_Titles" localSheetId="30">'List of Summons'!$2:$4</definedName>
    <definedName name="_xlnm.Print_Titles" localSheetId="26">'List of Summons (2)'!$2:$4</definedName>
    <definedName name="_xlnm.Print_Titles" localSheetId="31">litigations!$2:$20</definedName>
    <definedName name="_xlnm.Print_Titles" localSheetId="20">'Valuation 2j'!$57:$57</definedName>
  </definedNames>
  <calcPr calcId="124519"/>
</workbook>
</file>

<file path=xl/calcChain.xml><?xml version="1.0" encoding="utf-8"?>
<calcChain xmlns="http://schemas.openxmlformats.org/spreadsheetml/2006/main">
  <c r="Q196" i="110"/>
  <c r="F28" i="96" l="1"/>
  <c r="T185" i="110" l="1"/>
  <c r="T186"/>
  <c r="T187"/>
  <c r="T188"/>
  <c r="T189"/>
  <c r="T190"/>
  <c r="T191"/>
  <c r="T192"/>
  <c r="T193"/>
  <c r="T194"/>
  <c r="T195"/>
  <c r="R195"/>
  <c r="S195" s="1"/>
  <c r="R185"/>
  <c r="S185" s="1"/>
  <c r="R186"/>
  <c r="S186" s="1"/>
  <c r="R187"/>
  <c r="S187" s="1"/>
  <c r="R188"/>
  <c r="S188" s="1"/>
  <c r="R189"/>
  <c r="S189" s="1"/>
  <c r="R190"/>
  <c r="S190" s="1"/>
  <c r="R191"/>
  <c r="S191" s="1"/>
  <c r="R192"/>
  <c r="R193"/>
  <c r="S193" s="1"/>
  <c r="R194"/>
  <c r="S194" s="1"/>
  <c r="R7"/>
  <c r="R8"/>
  <c r="R9"/>
  <c r="R10"/>
  <c r="R11"/>
  <c r="R12"/>
  <c r="R13"/>
  <c r="R14"/>
  <c r="R15"/>
  <c r="R16"/>
  <c r="R17"/>
  <c r="R18"/>
  <c r="R19"/>
  <c r="R20"/>
  <c r="R21"/>
  <c r="R22"/>
  <c r="R23"/>
  <c r="R24"/>
  <c r="R25"/>
  <c r="R26"/>
  <c r="R27"/>
  <c r="R28"/>
  <c r="R29"/>
  <c r="R30"/>
  <c r="R31"/>
  <c r="R32"/>
  <c r="R33"/>
  <c r="R34"/>
  <c r="R35"/>
  <c r="R36"/>
  <c r="R37"/>
  <c r="R38"/>
  <c r="R39"/>
  <c r="R40"/>
  <c r="R41"/>
  <c r="R42"/>
  <c r="R43"/>
  <c r="R44"/>
  <c r="R45"/>
  <c r="R46"/>
  <c r="R47"/>
  <c r="R48"/>
  <c r="R49"/>
  <c r="R50"/>
  <c r="R51"/>
  <c r="R52"/>
  <c r="R53"/>
  <c r="R54"/>
  <c r="R55"/>
  <c r="R56"/>
  <c r="R57"/>
  <c r="R58"/>
  <c r="R59"/>
  <c r="R60"/>
  <c r="R61"/>
  <c r="R62"/>
  <c r="R63"/>
  <c r="R64"/>
  <c r="R65"/>
  <c r="R66"/>
  <c r="R67"/>
  <c r="R68"/>
  <c r="R69"/>
  <c r="R70"/>
  <c r="R71"/>
  <c r="R72"/>
  <c r="R73"/>
  <c r="R74"/>
  <c r="R75"/>
  <c r="R76"/>
  <c r="R77"/>
  <c r="R78"/>
  <c r="R79"/>
  <c r="R80"/>
  <c r="R81"/>
  <c r="R82"/>
  <c r="R83"/>
  <c r="R84"/>
  <c r="R85"/>
  <c r="R86"/>
  <c r="R87"/>
  <c r="R88"/>
  <c r="R89"/>
  <c r="R90"/>
  <c r="R91"/>
  <c r="R92"/>
  <c r="R93"/>
  <c r="R94"/>
  <c r="R95"/>
  <c r="R96"/>
  <c r="R97"/>
  <c r="R98"/>
  <c r="R99"/>
  <c r="R100"/>
  <c r="R101"/>
  <c r="R102"/>
  <c r="R103"/>
  <c r="R104"/>
  <c r="R105"/>
  <c r="R106"/>
  <c r="R107"/>
  <c r="R108"/>
  <c r="R109"/>
  <c r="R110"/>
  <c r="R111"/>
  <c r="R112"/>
  <c r="R113"/>
  <c r="R114"/>
  <c r="R115"/>
  <c r="R116"/>
  <c r="R117"/>
  <c r="R118"/>
  <c r="R119"/>
  <c r="R120"/>
  <c r="R121"/>
  <c r="R122"/>
  <c r="R123"/>
  <c r="R124"/>
  <c r="R125"/>
  <c r="R126"/>
  <c r="R127"/>
  <c r="R128"/>
  <c r="R129"/>
  <c r="R130"/>
  <c r="R131"/>
  <c r="R132"/>
  <c r="R133"/>
  <c r="R134"/>
  <c r="R135"/>
  <c r="R136"/>
  <c r="R137"/>
  <c r="R138"/>
  <c r="R139"/>
  <c r="R140"/>
  <c r="R141"/>
  <c r="R142"/>
  <c r="R143"/>
  <c r="R144"/>
  <c r="R145"/>
  <c r="R146"/>
  <c r="R147"/>
  <c r="R148"/>
  <c r="R149"/>
  <c r="R150"/>
  <c r="R151"/>
  <c r="R152"/>
  <c r="R153"/>
  <c r="R154"/>
  <c r="R155"/>
  <c r="R156"/>
  <c r="R157"/>
  <c r="R158"/>
  <c r="R159"/>
  <c r="R160"/>
  <c r="R161"/>
  <c r="R162"/>
  <c r="R163"/>
  <c r="R164"/>
  <c r="R165"/>
  <c r="R166"/>
  <c r="R167"/>
  <c r="R168"/>
  <c r="R169"/>
  <c r="R170"/>
  <c r="R171"/>
  <c r="R172"/>
  <c r="R173"/>
  <c r="R174"/>
  <c r="R175"/>
  <c r="R176"/>
  <c r="R177"/>
  <c r="R178"/>
  <c r="R179"/>
  <c r="R180"/>
  <c r="R181"/>
  <c r="R182"/>
  <c r="R183"/>
  <c r="R184"/>
  <c r="N195"/>
  <c r="N192"/>
  <c r="H9" i="96"/>
  <c r="S192" i="110" l="1"/>
  <c r="E38" i="78"/>
  <c r="H37"/>
  <c r="G38"/>
  <c r="F38"/>
  <c r="J33" i="96" l="1"/>
  <c r="H34"/>
  <c r="I34"/>
  <c r="G34"/>
  <c r="N19" i="42" l="1"/>
  <c r="N17"/>
  <c r="J20" i="96" l="1"/>
  <c r="T184" i="110"/>
  <c r="H17" i="42"/>
  <c r="T162" i="110" l="1"/>
  <c r="T161"/>
  <c r="I18" i="42" l="1"/>
  <c r="N18" s="1"/>
  <c r="O160" i="110"/>
  <c r="G160"/>
  <c r="I160" s="1"/>
  <c r="J160" s="1"/>
  <c r="K160" s="1"/>
  <c r="Q206"/>
  <c r="T206" s="1"/>
  <c r="P206"/>
  <c r="G206"/>
  <c r="I206" s="1"/>
  <c r="J206" s="1"/>
  <c r="K206" s="1"/>
  <c r="Q205"/>
  <c r="L205"/>
  <c r="G205"/>
  <c r="I205" s="1"/>
  <c r="J205" s="1"/>
  <c r="K205" s="1"/>
  <c r="N204"/>
  <c r="Q204" s="1"/>
  <c r="G204"/>
  <c r="I204" s="1"/>
  <c r="J204" s="1"/>
  <c r="K204" s="1"/>
  <c r="P203"/>
  <c r="N203"/>
  <c r="L203"/>
  <c r="G203"/>
  <c r="I203" s="1"/>
  <c r="P202"/>
  <c r="O202"/>
  <c r="N202"/>
  <c r="L202"/>
  <c r="G202"/>
  <c r="I202" s="1"/>
  <c r="J202" s="1"/>
  <c r="K202" s="1"/>
  <c r="P201"/>
  <c r="O201"/>
  <c r="L201"/>
  <c r="G201"/>
  <c r="I201" s="1"/>
  <c r="J201" s="1"/>
  <c r="K201" s="1"/>
  <c r="P200"/>
  <c r="O200"/>
  <c r="L200"/>
  <c r="G200"/>
  <c r="I200" s="1"/>
  <c r="J200" s="1"/>
  <c r="K200" s="1"/>
  <c r="P199"/>
  <c r="L199"/>
  <c r="G199"/>
  <c r="I199" s="1"/>
  <c r="J199" s="1"/>
  <c r="S184"/>
  <c r="G183"/>
  <c r="I183" s="1"/>
  <c r="M183" s="1"/>
  <c r="E183"/>
  <c r="G182"/>
  <c r="I182" s="1"/>
  <c r="M182" s="1"/>
  <c r="E182"/>
  <c r="G181"/>
  <c r="I181" s="1"/>
  <c r="M181" s="1"/>
  <c r="E181"/>
  <c r="G180"/>
  <c r="I180" s="1"/>
  <c r="E180"/>
  <c r="G179"/>
  <c r="I179" s="1"/>
  <c r="M179" s="1"/>
  <c r="E179"/>
  <c r="G178"/>
  <c r="I178" s="1"/>
  <c r="M178" s="1"/>
  <c r="E178"/>
  <c r="T177"/>
  <c r="G177"/>
  <c r="I177" s="1"/>
  <c r="M177" s="1"/>
  <c r="E177"/>
  <c r="G176"/>
  <c r="I176" s="1"/>
  <c r="M176" s="1"/>
  <c r="E176"/>
  <c r="T175"/>
  <c r="G175"/>
  <c r="I175" s="1"/>
  <c r="E175"/>
  <c r="K175" s="1"/>
  <c r="G174"/>
  <c r="I174" s="1"/>
  <c r="M174" s="1"/>
  <c r="E174"/>
  <c r="G173"/>
  <c r="I173" s="1"/>
  <c r="M173" s="1"/>
  <c r="E173"/>
  <c r="G172"/>
  <c r="I172" s="1"/>
  <c r="M172" s="1"/>
  <c r="E172"/>
  <c r="G171"/>
  <c r="I171" s="1"/>
  <c r="E171"/>
  <c r="G170"/>
  <c r="I170" s="1"/>
  <c r="M170" s="1"/>
  <c r="E170"/>
  <c r="G169"/>
  <c r="I169" s="1"/>
  <c r="E169"/>
  <c r="G168"/>
  <c r="I168" s="1"/>
  <c r="M168" s="1"/>
  <c r="E168"/>
  <c r="G167"/>
  <c r="I167" s="1"/>
  <c r="E167"/>
  <c r="T166"/>
  <c r="G166"/>
  <c r="I166" s="1"/>
  <c r="M166" s="1"/>
  <c r="E166"/>
  <c r="G165"/>
  <c r="I165" s="1"/>
  <c r="M165" s="1"/>
  <c r="E165"/>
  <c r="G164"/>
  <c r="I164" s="1"/>
  <c r="M164" s="1"/>
  <c r="E164"/>
  <c r="G163"/>
  <c r="I163" s="1"/>
  <c r="E163"/>
  <c r="G162"/>
  <c r="I162" s="1"/>
  <c r="M162" s="1"/>
  <c r="S161"/>
  <c r="G161"/>
  <c r="I161" s="1"/>
  <c r="M161" s="1"/>
  <c r="G159"/>
  <c r="I159" s="1"/>
  <c r="J159" s="1"/>
  <c r="K159" s="1"/>
  <c r="G158"/>
  <c r="I158" s="1"/>
  <c r="M158" s="1"/>
  <c r="G157"/>
  <c r="I157" s="1"/>
  <c r="M157" s="1"/>
  <c r="G156"/>
  <c r="I156" s="1"/>
  <c r="M156" s="1"/>
  <c r="O155"/>
  <c r="G155"/>
  <c r="I155" s="1"/>
  <c r="O154"/>
  <c r="G154"/>
  <c r="I154" s="1"/>
  <c r="J154" s="1"/>
  <c r="K154" s="1"/>
  <c r="O153"/>
  <c r="G153"/>
  <c r="I153" s="1"/>
  <c r="J153" s="1"/>
  <c r="K153" s="1"/>
  <c r="G152"/>
  <c r="I152" s="1"/>
  <c r="J152" s="1"/>
  <c r="K152" s="1"/>
  <c r="O151"/>
  <c r="G151"/>
  <c r="I151" s="1"/>
  <c r="J151" s="1"/>
  <c r="K151" s="1"/>
  <c r="G150"/>
  <c r="I150" s="1"/>
  <c r="J150" s="1"/>
  <c r="K150" s="1"/>
  <c r="G149"/>
  <c r="I149" s="1"/>
  <c r="J149" s="1"/>
  <c r="K149" s="1"/>
  <c r="G148"/>
  <c r="I148" s="1"/>
  <c r="J148" s="1"/>
  <c r="K148" s="1"/>
  <c r="G147"/>
  <c r="I147" s="1"/>
  <c r="J147" s="1"/>
  <c r="K147" s="1"/>
  <c r="G146"/>
  <c r="I146" s="1"/>
  <c r="G145"/>
  <c r="I145" s="1"/>
  <c r="G144"/>
  <c r="I144" s="1"/>
  <c r="J144" s="1"/>
  <c r="K144" s="1"/>
  <c r="G143"/>
  <c r="I143" s="1"/>
  <c r="J143" s="1"/>
  <c r="K143" s="1"/>
  <c r="G142"/>
  <c r="I142" s="1"/>
  <c r="G141"/>
  <c r="I141" s="1"/>
  <c r="G140"/>
  <c r="I140" s="1"/>
  <c r="O139"/>
  <c r="G139"/>
  <c r="I139" s="1"/>
  <c r="G138"/>
  <c r="I138" s="1"/>
  <c r="J138" s="1"/>
  <c r="K138" s="1"/>
  <c r="O137"/>
  <c r="T137"/>
  <c r="G137"/>
  <c r="I137" s="1"/>
  <c r="M137" s="1"/>
  <c r="G136"/>
  <c r="I136" s="1"/>
  <c r="J136" s="1"/>
  <c r="K136" s="1"/>
  <c r="G135"/>
  <c r="I135" s="1"/>
  <c r="M135" s="1"/>
  <c r="G134"/>
  <c r="I134" s="1"/>
  <c r="M134" s="1"/>
  <c r="G133"/>
  <c r="I133" s="1"/>
  <c r="M133" s="1"/>
  <c r="G132"/>
  <c r="I132" s="1"/>
  <c r="M132" s="1"/>
  <c r="G131"/>
  <c r="I131" s="1"/>
  <c r="M131" s="1"/>
  <c r="G130"/>
  <c r="I130" s="1"/>
  <c r="J130" s="1"/>
  <c r="K130" s="1"/>
  <c r="O129"/>
  <c r="G129"/>
  <c r="I129" s="1"/>
  <c r="G128"/>
  <c r="I128" s="1"/>
  <c r="J128" s="1"/>
  <c r="K128" s="1"/>
  <c r="S127"/>
  <c r="G127"/>
  <c r="I127" s="1"/>
  <c r="J127" s="1"/>
  <c r="K127" s="1"/>
  <c r="S126"/>
  <c r="G126"/>
  <c r="I126" s="1"/>
  <c r="M126" s="1"/>
  <c r="S125"/>
  <c r="G125"/>
  <c r="I125" s="1"/>
  <c r="M125" s="1"/>
  <c r="S124"/>
  <c r="G124"/>
  <c r="I124" s="1"/>
  <c r="S123"/>
  <c r="T123" s="1"/>
  <c r="G123"/>
  <c r="I123" s="1"/>
  <c r="J123" s="1"/>
  <c r="K123" s="1"/>
  <c r="G122"/>
  <c r="I122" s="1"/>
  <c r="J122" s="1"/>
  <c r="K122" s="1"/>
  <c r="O121"/>
  <c r="G121"/>
  <c r="I121" s="1"/>
  <c r="J121" s="1"/>
  <c r="K121" s="1"/>
  <c r="G120"/>
  <c r="I120" s="1"/>
  <c r="J120" s="1"/>
  <c r="K120" s="1"/>
  <c r="G119"/>
  <c r="I119" s="1"/>
  <c r="G118"/>
  <c r="I118" s="1"/>
  <c r="J118" s="1"/>
  <c r="K118" s="1"/>
  <c r="G117"/>
  <c r="I117" s="1"/>
  <c r="G116"/>
  <c r="I116" s="1"/>
  <c r="J116" s="1"/>
  <c r="K116" s="1"/>
  <c r="G115"/>
  <c r="I115" s="1"/>
  <c r="J115" s="1"/>
  <c r="K115" s="1"/>
  <c r="G114"/>
  <c r="I114" s="1"/>
  <c r="J114" s="1"/>
  <c r="K114" s="1"/>
  <c r="O113"/>
  <c r="G113"/>
  <c r="I113" s="1"/>
  <c r="J113" s="1"/>
  <c r="K113" s="1"/>
  <c r="O112"/>
  <c r="G112"/>
  <c r="I112" s="1"/>
  <c r="J112" s="1"/>
  <c r="K112" s="1"/>
  <c r="G111"/>
  <c r="I111" s="1"/>
  <c r="J111" s="1"/>
  <c r="K111" s="1"/>
  <c r="G110"/>
  <c r="I110" s="1"/>
  <c r="J110" s="1"/>
  <c r="K110" s="1"/>
  <c r="G109"/>
  <c r="I109" s="1"/>
  <c r="J109" s="1"/>
  <c r="K109" s="1"/>
  <c r="G108"/>
  <c r="I108" s="1"/>
  <c r="J108" s="1"/>
  <c r="K108" s="1"/>
  <c r="T107"/>
  <c r="G107"/>
  <c r="I107" s="1"/>
  <c r="M107" s="1"/>
  <c r="S106"/>
  <c r="G106"/>
  <c r="I106" s="1"/>
  <c r="J106" s="1"/>
  <c r="K106" s="1"/>
  <c r="G105"/>
  <c r="I105" s="1"/>
  <c r="J105" s="1"/>
  <c r="K105" s="1"/>
  <c r="G104"/>
  <c r="I104" s="1"/>
  <c r="J104" s="1"/>
  <c r="K104" s="1"/>
  <c r="O103"/>
  <c r="G103"/>
  <c r="I103" s="1"/>
  <c r="J103" s="1"/>
  <c r="K103" s="1"/>
  <c r="O102"/>
  <c r="G102"/>
  <c r="I102" s="1"/>
  <c r="J102" s="1"/>
  <c r="K102" s="1"/>
  <c r="O101"/>
  <c r="G101"/>
  <c r="I101" s="1"/>
  <c r="J101" s="1"/>
  <c r="K101" s="1"/>
  <c r="G100"/>
  <c r="I100" s="1"/>
  <c r="J100" s="1"/>
  <c r="K100" s="1"/>
  <c r="O99"/>
  <c r="G99"/>
  <c r="I99" s="1"/>
  <c r="J99" s="1"/>
  <c r="K99" s="1"/>
  <c r="G98"/>
  <c r="I98" s="1"/>
  <c r="J98" s="1"/>
  <c r="K98" s="1"/>
  <c r="G97"/>
  <c r="I97" s="1"/>
  <c r="J97" s="1"/>
  <c r="K97" s="1"/>
  <c r="O96"/>
  <c r="G96"/>
  <c r="I96" s="1"/>
  <c r="J96" s="1"/>
  <c r="K96" s="1"/>
  <c r="G95"/>
  <c r="I95" s="1"/>
  <c r="J95" s="1"/>
  <c r="K95" s="1"/>
  <c r="G94"/>
  <c r="I94" s="1"/>
  <c r="J94" s="1"/>
  <c r="K94" s="1"/>
  <c r="G93"/>
  <c r="I93" s="1"/>
  <c r="G92"/>
  <c r="I92" s="1"/>
  <c r="J92" s="1"/>
  <c r="K92" s="1"/>
  <c r="G91"/>
  <c r="I91" s="1"/>
  <c r="J91" s="1"/>
  <c r="K91" s="1"/>
  <c r="G90"/>
  <c r="I90" s="1"/>
  <c r="O89"/>
  <c r="G89"/>
  <c r="I89" s="1"/>
  <c r="J89" s="1"/>
  <c r="K89" s="1"/>
  <c r="G88"/>
  <c r="I88" s="1"/>
  <c r="J88" s="1"/>
  <c r="K88" s="1"/>
  <c r="G87"/>
  <c r="I87" s="1"/>
  <c r="G86"/>
  <c r="I86" s="1"/>
  <c r="G85"/>
  <c r="I85" s="1"/>
  <c r="J85" s="1"/>
  <c r="K85" s="1"/>
  <c r="G84"/>
  <c r="I84" s="1"/>
  <c r="J84" s="1"/>
  <c r="K84" s="1"/>
  <c r="O83"/>
  <c r="G83"/>
  <c r="I83" s="1"/>
  <c r="J83" s="1"/>
  <c r="K83" s="1"/>
  <c r="O82"/>
  <c r="G82"/>
  <c r="I82" s="1"/>
  <c r="O81"/>
  <c r="G81"/>
  <c r="I81" s="1"/>
  <c r="O80"/>
  <c r="G80"/>
  <c r="I80" s="1"/>
  <c r="G79"/>
  <c r="I79" s="1"/>
  <c r="O78"/>
  <c r="G78"/>
  <c r="I78" s="1"/>
  <c r="J78" s="1"/>
  <c r="K78" s="1"/>
  <c r="T77"/>
  <c r="G77"/>
  <c r="I77" s="1"/>
  <c r="M77" s="1"/>
  <c r="E77"/>
  <c r="O76"/>
  <c r="G76"/>
  <c r="I76" s="1"/>
  <c r="O75"/>
  <c r="G75"/>
  <c r="I75" s="1"/>
  <c r="J75" s="1"/>
  <c r="K75" s="1"/>
  <c r="O74"/>
  <c r="G74"/>
  <c r="I74" s="1"/>
  <c r="J74" s="1"/>
  <c r="K74" s="1"/>
  <c r="O73"/>
  <c r="G73"/>
  <c r="I73" s="1"/>
  <c r="O72"/>
  <c r="G72"/>
  <c r="I72" s="1"/>
  <c r="J72" s="1"/>
  <c r="K72" s="1"/>
  <c r="O71"/>
  <c r="G71"/>
  <c r="I71" s="1"/>
  <c r="J71" s="1"/>
  <c r="K71" s="1"/>
  <c r="O70"/>
  <c r="G70"/>
  <c r="I70" s="1"/>
  <c r="J70" s="1"/>
  <c r="K70" s="1"/>
  <c r="O69"/>
  <c r="G69"/>
  <c r="I69" s="1"/>
  <c r="J69" s="1"/>
  <c r="K69" s="1"/>
  <c r="O68"/>
  <c r="G68"/>
  <c r="I68" s="1"/>
  <c r="J68" s="1"/>
  <c r="K68" s="1"/>
  <c r="O67"/>
  <c r="G67"/>
  <c r="I67" s="1"/>
  <c r="J67" s="1"/>
  <c r="K67" s="1"/>
  <c r="O66"/>
  <c r="G66"/>
  <c r="I66" s="1"/>
  <c r="J66" s="1"/>
  <c r="K66" s="1"/>
  <c r="O65"/>
  <c r="G65"/>
  <c r="I65" s="1"/>
  <c r="J65" s="1"/>
  <c r="K65" s="1"/>
  <c r="O64"/>
  <c r="G64"/>
  <c r="I64" s="1"/>
  <c r="J64" s="1"/>
  <c r="K64" s="1"/>
  <c r="O63"/>
  <c r="G63"/>
  <c r="I63" s="1"/>
  <c r="J63" s="1"/>
  <c r="K63" s="1"/>
  <c r="O62"/>
  <c r="G62"/>
  <c r="I62" s="1"/>
  <c r="J62" s="1"/>
  <c r="K62" s="1"/>
  <c r="O61"/>
  <c r="G61"/>
  <c r="I61" s="1"/>
  <c r="J61" s="1"/>
  <c r="K61" s="1"/>
  <c r="O60"/>
  <c r="G60"/>
  <c r="I60" s="1"/>
  <c r="J60" s="1"/>
  <c r="K60" s="1"/>
  <c r="O59"/>
  <c r="G59"/>
  <c r="I59" s="1"/>
  <c r="J59" s="1"/>
  <c r="K59" s="1"/>
  <c r="O58"/>
  <c r="G58"/>
  <c r="I58" s="1"/>
  <c r="J58" s="1"/>
  <c r="K58" s="1"/>
  <c r="O57"/>
  <c r="G57"/>
  <c r="I57" s="1"/>
  <c r="J57" s="1"/>
  <c r="K57" s="1"/>
  <c r="O56"/>
  <c r="G56"/>
  <c r="I56" s="1"/>
  <c r="J56" s="1"/>
  <c r="K56" s="1"/>
  <c r="O55"/>
  <c r="G55"/>
  <c r="I55" s="1"/>
  <c r="J55" s="1"/>
  <c r="K55" s="1"/>
  <c r="O54"/>
  <c r="G54"/>
  <c r="I54" s="1"/>
  <c r="J54" s="1"/>
  <c r="K54" s="1"/>
  <c r="O53"/>
  <c r="G53"/>
  <c r="I53" s="1"/>
  <c r="J53" s="1"/>
  <c r="K53" s="1"/>
  <c r="O52"/>
  <c r="G52"/>
  <c r="I52" s="1"/>
  <c r="J52" s="1"/>
  <c r="K52" s="1"/>
  <c r="O51"/>
  <c r="G51"/>
  <c r="I51" s="1"/>
  <c r="J51" s="1"/>
  <c r="K51" s="1"/>
  <c r="O50"/>
  <c r="G50"/>
  <c r="I50" s="1"/>
  <c r="J50" s="1"/>
  <c r="K50" s="1"/>
  <c r="O49"/>
  <c r="G49"/>
  <c r="I49" s="1"/>
  <c r="J49" s="1"/>
  <c r="K49" s="1"/>
  <c r="O48"/>
  <c r="G48"/>
  <c r="I48" s="1"/>
  <c r="J48" s="1"/>
  <c r="K48" s="1"/>
  <c r="O47"/>
  <c r="G47"/>
  <c r="I47" s="1"/>
  <c r="J47" s="1"/>
  <c r="K47" s="1"/>
  <c r="O46"/>
  <c r="G46"/>
  <c r="I46" s="1"/>
  <c r="J46" s="1"/>
  <c r="K46" s="1"/>
  <c r="O45"/>
  <c r="G45"/>
  <c r="I45" s="1"/>
  <c r="J45" s="1"/>
  <c r="K45" s="1"/>
  <c r="O44"/>
  <c r="G44"/>
  <c r="I44" s="1"/>
  <c r="J44" s="1"/>
  <c r="K44" s="1"/>
  <c r="O43"/>
  <c r="G43"/>
  <c r="I43" s="1"/>
  <c r="J43" s="1"/>
  <c r="K43" s="1"/>
  <c r="O42"/>
  <c r="G42"/>
  <c r="I42" s="1"/>
  <c r="J42" s="1"/>
  <c r="K42" s="1"/>
  <c r="O41"/>
  <c r="G41"/>
  <c r="I41" s="1"/>
  <c r="J41" s="1"/>
  <c r="K41" s="1"/>
  <c r="O40"/>
  <c r="G40"/>
  <c r="I40" s="1"/>
  <c r="J40" s="1"/>
  <c r="K40" s="1"/>
  <c r="O39"/>
  <c r="G39"/>
  <c r="I39" s="1"/>
  <c r="O38"/>
  <c r="G38"/>
  <c r="I38" s="1"/>
  <c r="J38" s="1"/>
  <c r="K38" s="1"/>
  <c r="O37"/>
  <c r="G37"/>
  <c r="I37" s="1"/>
  <c r="M37" s="1"/>
  <c r="O36"/>
  <c r="G36"/>
  <c r="I36" s="1"/>
  <c r="J36" s="1"/>
  <c r="K36" s="1"/>
  <c r="O35"/>
  <c r="G35"/>
  <c r="I35" s="1"/>
  <c r="O34"/>
  <c r="G34"/>
  <c r="I34" s="1"/>
  <c r="J34" s="1"/>
  <c r="K34" s="1"/>
  <c r="G33"/>
  <c r="I33" s="1"/>
  <c r="O32"/>
  <c r="G32"/>
  <c r="I32" s="1"/>
  <c r="J32" s="1"/>
  <c r="K32" s="1"/>
  <c r="G31"/>
  <c r="I31" s="1"/>
  <c r="O30"/>
  <c r="G30"/>
  <c r="I30" s="1"/>
  <c r="O29"/>
  <c r="G29"/>
  <c r="I29" s="1"/>
  <c r="J29" s="1"/>
  <c r="K29" s="1"/>
  <c r="O28"/>
  <c r="G28"/>
  <c r="I28" s="1"/>
  <c r="J28" s="1"/>
  <c r="K28" s="1"/>
  <c r="O27"/>
  <c r="G27"/>
  <c r="I27" s="1"/>
  <c r="O26"/>
  <c r="G26"/>
  <c r="I26" s="1"/>
  <c r="J26" s="1"/>
  <c r="K26" s="1"/>
  <c r="O25"/>
  <c r="G25"/>
  <c r="I25" s="1"/>
  <c r="O24"/>
  <c r="G24"/>
  <c r="I24" s="1"/>
  <c r="J24" s="1"/>
  <c r="K24" s="1"/>
  <c r="G23"/>
  <c r="I23" s="1"/>
  <c r="J23" s="1"/>
  <c r="K23" s="1"/>
  <c r="O22"/>
  <c r="G22"/>
  <c r="I22" s="1"/>
  <c r="O21"/>
  <c r="G21"/>
  <c r="I21" s="1"/>
  <c r="J21" s="1"/>
  <c r="K21" s="1"/>
  <c r="O20"/>
  <c r="G20"/>
  <c r="I20" s="1"/>
  <c r="J20" s="1"/>
  <c r="K20" s="1"/>
  <c r="T19"/>
  <c r="G19"/>
  <c r="I19" s="1"/>
  <c r="J19" s="1"/>
  <c r="K19" s="1"/>
  <c r="G18"/>
  <c r="I18" s="1"/>
  <c r="J18" s="1"/>
  <c r="K18" s="1"/>
  <c r="O17"/>
  <c r="G17"/>
  <c r="I17" s="1"/>
  <c r="J17" s="1"/>
  <c r="K17" s="1"/>
  <c r="O16"/>
  <c r="G16"/>
  <c r="I16" s="1"/>
  <c r="J16" s="1"/>
  <c r="K16" s="1"/>
  <c r="G15"/>
  <c r="I15" s="1"/>
  <c r="J15" s="1"/>
  <c r="K15" s="1"/>
  <c r="G14"/>
  <c r="I14" s="1"/>
  <c r="J14" s="1"/>
  <c r="K14" s="1"/>
  <c r="O13"/>
  <c r="G13"/>
  <c r="I13" s="1"/>
  <c r="J13" s="1"/>
  <c r="K13" s="1"/>
  <c r="O12"/>
  <c r="G12"/>
  <c r="I12" s="1"/>
  <c r="J12" s="1"/>
  <c r="K12" s="1"/>
  <c r="O11"/>
  <c r="G11"/>
  <c r="I11" s="1"/>
  <c r="J11" s="1"/>
  <c r="K11" s="1"/>
  <c r="O10"/>
  <c r="G10"/>
  <c r="I10" s="1"/>
  <c r="O9"/>
  <c r="T9"/>
  <c r="G9"/>
  <c r="I9" s="1"/>
  <c r="M9" s="1"/>
  <c r="O8"/>
  <c r="G8"/>
  <c r="I8" s="1"/>
  <c r="O7"/>
  <c r="G7"/>
  <c r="I7" s="1"/>
  <c r="O6"/>
  <c r="L196"/>
  <c r="G6"/>
  <c r="I6" s="1"/>
  <c r="J6" s="1"/>
  <c r="K6" s="1"/>
  <c r="N207" l="1"/>
  <c r="O196"/>
  <c r="N196"/>
  <c r="P196"/>
  <c r="S99"/>
  <c r="T114"/>
  <c r="J132"/>
  <c r="K132" s="1"/>
  <c r="T11"/>
  <c r="T89"/>
  <c r="T10"/>
  <c r="J171"/>
  <c r="T99"/>
  <c r="T103"/>
  <c r="T106"/>
  <c r="T51"/>
  <c r="T63"/>
  <c r="T91"/>
  <c r="T92"/>
  <c r="T147"/>
  <c r="S77"/>
  <c r="S18"/>
  <c r="S20"/>
  <c r="T20"/>
  <c r="S26"/>
  <c r="S31"/>
  <c r="T31"/>
  <c r="S38"/>
  <c r="S52"/>
  <c r="S82"/>
  <c r="T82"/>
  <c r="S94"/>
  <c r="T104"/>
  <c r="T108"/>
  <c r="S118"/>
  <c r="T118"/>
  <c r="T119"/>
  <c r="S132"/>
  <c r="T132"/>
  <c r="S148"/>
  <c r="T148"/>
  <c r="S164"/>
  <c r="T164"/>
  <c r="S165"/>
  <c r="T165"/>
  <c r="S181"/>
  <c r="T181"/>
  <c r="S182"/>
  <c r="T182"/>
  <c r="R199"/>
  <c r="S199" s="1"/>
  <c r="Q203"/>
  <c r="R203" s="1"/>
  <c r="S203" s="1"/>
  <c r="R204"/>
  <c r="S204" s="1"/>
  <c r="T204"/>
  <c r="T8"/>
  <c r="T48"/>
  <c r="T56"/>
  <c r="T68"/>
  <c r="T75"/>
  <c r="T78"/>
  <c r="S91"/>
  <c r="S92"/>
  <c r="T101"/>
  <c r="J135"/>
  <c r="K135" s="1"/>
  <c r="T136"/>
  <c r="J176"/>
  <c r="K176" s="1"/>
  <c r="J178"/>
  <c r="J179"/>
  <c r="K179" s="1"/>
  <c r="T160"/>
  <c r="S28"/>
  <c r="T35"/>
  <c r="M40"/>
  <c r="M55"/>
  <c r="M59"/>
  <c r="M67"/>
  <c r="M71"/>
  <c r="T80"/>
  <c r="S84"/>
  <c r="T84"/>
  <c r="T90"/>
  <c r="S100"/>
  <c r="T105"/>
  <c r="S129"/>
  <c r="T129"/>
  <c r="S140"/>
  <c r="S143"/>
  <c r="S151"/>
  <c r="T151"/>
  <c r="S152"/>
  <c r="S153"/>
  <c r="T157"/>
  <c r="S158"/>
  <c r="T158"/>
  <c r="S167"/>
  <c r="T167"/>
  <c r="S173"/>
  <c r="T173"/>
  <c r="S176"/>
  <c r="T176"/>
  <c r="S183"/>
  <c r="T183"/>
  <c r="Q202"/>
  <c r="R202" s="1"/>
  <c r="S202" s="1"/>
  <c r="S22"/>
  <c r="M14"/>
  <c r="T14"/>
  <c r="S23"/>
  <c r="S54"/>
  <c r="S74"/>
  <c r="T87"/>
  <c r="S88"/>
  <c r="S98"/>
  <c r="S109"/>
  <c r="S169"/>
  <c r="T169"/>
  <c r="S170"/>
  <c r="T170"/>
  <c r="S171"/>
  <c r="T171"/>
  <c r="S174"/>
  <c r="T174"/>
  <c r="S179"/>
  <c r="T179"/>
  <c r="T13"/>
  <c r="T50"/>
  <c r="T58"/>
  <c r="T66"/>
  <c r="T70"/>
  <c r="T27"/>
  <c r="S30"/>
  <c r="S37"/>
  <c r="T37"/>
  <c r="S39"/>
  <c r="T39"/>
  <c r="S42"/>
  <c r="S46"/>
  <c r="M49"/>
  <c r="S79"/>
  <c r="S96"/>
  <c r="S102"/>
  <c r="S111"/>
  <c r="S112"/>
  <c r="S121"/>
  <c r="T121"/>
  <c r="S139"/>
  <c r="T139"/>
  <c r="T145"/>
  <c r="T149"/>
  <c r="T150"/>
  <c r="S168"/>
  <c r="T168"/>
  <c r="T172"/>
  <c r="S180"/>
  <c r="T180"/>
  <c r="T7"/>
  <c r="T12"/>
  <c r="S56"/>
  <c r="T57"/>
  <c r="T61"/>
  <c r="T65"/>
  <c r="T73"/>
  <c r="T76"/>
  <c r="T110"/>
  <c r="S162"/>
  <c r="S10"/>
  <c r="M12"/>
  <c r="S14"/>
  <c r="S65"/>
  <c r="M78"/>
  <c r="M89"/>
  <c r="J167"/>
  <c r="M206"/>
  <c r="M53"/>
  <c r="M61"/>
  <c r="M65"/>
  <c r="M106"/>
  <c r="S119"/>
  <c r="J169"/>
  <c r="K169" s="1"/>
  <c r="J177"/>
  <c r="K177" s="1"/>
  <c r="M93"/>
  <c r="J180"/>
  <c r="J117"/>
  <c r="K117" s="1"/>
  <c r="M117"/>
  <c r="J124"/>
  <c r="K124" s="1"/>
  <c r="M124"/>
  <c r="J22"/>
  <c r="K22" s="1"/>
  <c r="M22"/>
  <c r="J27"/>
  <c r="K27" s="1"/>
  <c r="M27"/>
  <c r="J30"/>
  <c r="K30" s="1"/>
  <c r="M30"/>
  <c r="M82"/>
  <c r="J82"/>
  <c r="K82" s="1"/>
  <c r="J129"/>
  <c r="K129" s="1"/>
  <c r="M129"/>
  <c r="M11"/>
  <c r="M13"/>
  <c r="M16"/>
  <c r="M28"/>
  <c r="M32"/>
  <c r="J37"/>
  <c r="K37" s="1"/>
  <c r="S48"/>
  <c r="M50"/>
  <c r="M56"/>
  <c r="M58"/>
  <c r="M60"/>
  <c r="M62"/>
  <c r="M64"/>
  <c r="M68"/>
  <c r="M72"/>
  <c r="M75"/>
  <c r="J77"/>
  <c r="K77" s="1"/>
  <c r="M83"/>
  <c r="M92"/>
  <c r="S95"/>
  <c r="M103"/>
  <c r="S110"/>
  <c r="M114"/>
  <c r="M123"/>
  <c r="M128"/>
  <c r="M130"/>
  <c r="J131"/>
  <c r="K131" s="1"/>
  <c r="J134"/>
  <c r="K134" s="1"/>
  <c r="J137"/>
  <c r="K137" s="1"/>
  <c r="M147"/>
  <c r="M148"/>
  <c r="M150"/>
  <c r="M159"/>
  <c r="J164"/>
  <c r="K164" s="1"/>
  <c r="S172"/>
  <c r="M180"/>
  <c r="J182"/>
  <c r="M199"/>
  <c r="M201"/>
  <c r="R206"/>
  <c r="S206" s="1"/>
  <c r="M160"/>
  <c r="S11"/>
  <c r="S19"/>
  <c r="M21"/>
  <c r="M25"/>
  <c r="M29"/>
  <c r="M34"/>
  <c r="M36"/>
  <c r="M95"/>
  <c r="M101"/>
  <c r="M110"/>
  <c r="M113"/>
  <c r="M118"/>
  <c r="M121"/>
  <c r="M122"/>
  <c r="M127"/>
  <c r="S154"/>
  <c r="J157"/>
  <c r="K157" s="1"/>
  <c r="J165"/>
  <c r="K165" s="1"/>
  <c r="J166"/>
  <c r="K166" s="1"/>
  <c r="K167"/>
  <c r="M167"/>
  <c r="J168"/>
  <c r="K168" s="1"/>
  <c r="M169"/>
  <c r="J170"/>
  <c r="K170" s="1"/>
  <c r="K171"/>
  <c r="M171"/>
  <c r="J172"/>
  <c r="K172" s="1"/>
  <c r="J173"/>
  <c r="K173" s="1"/>
  <c r="J174"/>
  <c r="K174" s="1"/>
  <c r="S7"/>
  <c r="S12"/>
  <c r="M26"/>
  <c r="S32"/>
  <c r="S34"/>
  <c r="S50"/>
  <c r="M74"/>
  <c r="S114"/>
  <c r="S25"/>
  <c r="S149"/>
  <c r="M7"/>
  <c r="M86"/>
  <c r="M15"/>
  <c r="M105"/>
  <c r="M109"/>
  <c r="E25"/>
  <c r="S35"/>
  <c r="S60"/>
  <c r="S61"/>
  <c r="S68"/>
  <c r="M76"/>
  <c r="M80"/>
  <c r="S86"/>
  <c r="T117"/>
  <c r="S147"/>
  <c r="S166"/>
  <c r="P207"/>
  <c r="S160"/>
  <c r="S21"/>
  <c r="S58"/>
  <c r="S62"/>
  <c r="S72"/>
  <c r="S81"/>
  <c r="S89"/>
  <c r="S29"/>
  <c r="S13"/>
  <c r="S51"/>
  <c r="S57"/>
  <c r="S63"/>
  <c r="S64"/>
  <c r="S66"/>
  <c r="S70"/>
  <c r="S73"/>
  <c r="S93"/>
  <c r="M102"/>
  <c r="S103"/>
  <c r="T128"/>
  <c r="S130"/>
  <c r="S150"/>
  <c r="S157"/>
  <c r="S101"/>
  <c r="M115"/>
  <c r="S136"/>
  <c r="S145"/>
  <c r="S155"/>
  <c r="O207"/>
  <c r="J10"/>
  <c r="K10" s="1"/>
  <c r="M10"/>
  <c r="S9"/>
  <c r="J8"/>
  <c r="K8" s="1"/>
  <c r="M8"/>
  <c r="M47"/>
  <c r="S47"/>
  <c r="S76"/>
  <c r="M87"/>
  <c r="J87"/>
  <c r="K87" s="1"/>
  <c r="M90"/>
  <c r="J90"/>
  <c r="K90" s="1"/>
  <c r="M18"/>
  <c r="M19"/>
  <c r="M20"/>
  <c r="M23"/>
  <c r="M24"/>
  <c r="S24"/>
  <c r="M42"/>
  <c r="M52"/>
  <c r="S33"/>
  <c r="M33"/>
  <c r="E33"/>
  <c r="M45"/>
  <c r="S45"/>
  <c r="S78"/>
  <c r="S8"/>
  <c r="J9"/>
  <c r="K9" s="1"/>
  <c r="S40"/>
  <c r="M48"/>
  <c r="M51"/>
  <c r="M54"/>
  <c r="M57"/>
  <c r="M63"/>
  <c r="M66"/>
  <c r="M70"/>
  <c r="T17"/>
  <c r="M17"/>
  <c r="M39"/>
  <c r="J39"/>
  <c r="K39" s="1"/>
  <c r="M43"/>
  <c r="S43"/>
  <c r="J73"/>
  <c r="K73" s="1"/>
  <c r="M73"/>
  <c r="J81"/>
  <c r="K81" s="1"/>
  <c r="M81"/>
  <c r="J119"/>
  <c r="K119" s="1"/>
  <c r="M119"/>
  <c r="M6"/>
  <c r="J7"/>
  <c r="K7" s="1"/>
  <c r="S16"/>
  <c r="S36"/>
  <c r="M38"/>
  <c r="M46"/>
  <c r="M69"/>
  <c r="M31"/>
  <c r="J31"/>
  <c r="K31" s="1"/>
  <c r="J35"/>
  <c r="K35" s="1"/>
  <c r="M35"/>
  <c r="M41"/>
  <c r="S41"/>
  <c r="M79"/>
  <c r="J79"/>
  <c r="K79" s="1"/>
  <c r="S137"/>
  <c r="J139"/>
  <c r="K139" s="1"/>
  <c r="M139"/>
  <c r="M44"/>
  <c r="S44"/>
  <c r="J140"/>
  <c r="K140" s="1"/>
  <c r="M140"/>
  <c r="J142"/>
  <c r="K142" s="1"/>
  <c r="M142"/>
  <c r="S144"/>
  <c r="M145"/>
  <c r="J145"/>
  <c r="K145" s="1"/>
  <c r="J155"/>
  <c r="K155" s="1"/>
  <c r="M155"/>
  <c r="S175"/>
  <c r="S177"/>
  <c r="S75"/>
  <c r="J76"/>
  <c r="K76" s="1"/>
  <c r="J80"/>
  <c r="K80" s="1"/>
  <c r="M84"/>
  <c r="M94"/>
  <c r="M96"/>
  <c r="M97"/>
  <c r="M99"/>
  <c r="M100"/>
  <c r="M104"/>
  <c r="J107"/>
  <c r="K107" s="1"/>
  <c r="M138"/>
  <c r="M149"/>
  <c r="M153"/>
  <c r="J156"/>
  <c r="K156" s="1"/>
  <c r="L207"/>
  <c r="G25" i="42" s="1"/>
  <c r="I25" s="1"/>
  <c r="M205" i="110"/>
  <c r="M146"/>
  <c r="J146"/>
  <c r="K146" s="1"/>
  <c r="T159"/>
  <c r="K199"/>
  <c r="S49"/>
  <c r="S53"/>
  <c r="S55"/>
  <c r="S59"/>
  <c r="S67"/>
  <c r="S69"/>
  <c r="S71"/>
  <c r="J86"/>
  <c r="K86" s="1"/>
  <c r="M88"/>
  <c r="M91"/>
  <c r="S97"/>
  <c r="M136"/>
  <c r="M144"/>
  <c r="K178"/>
  <c r="K182"/>
  <c r="M200"/>
  <c r="T85"/>
  <c r="M85"/>
  <c r="S107"/>
  <c r="J141"/>
  <c r="K141" s="1"/>
  <c r="M141"/>
  <c r="S83"/>
  <c r="J93"/>
  <c r="K93" s="1"/>
  <c r="M98"/>
  <c r="M108"/>
  <c r="M112"/>
  <c r="S115"/>
  <c r="M116"/>
  <c r="M120"/>
  <c r="J125"/>
  <c r="K125" s="1"/>
  <c r="J126"/>
  <c r="K126" s="1"/>
  <c r="J133"/>
  <c r="K133" s="1"/>
  <c r="M151"/>
  <c r="M154"/>
  <c r="J158"/>
  <c r="K158" s="1"/>
  <c r="K180"/>
  <c r="J181"/>
  <c r="K181" s="1"/>
  <c r="M204"/>
  <c r="M163"/>
  <c r="J163"/>
  <c r="K163" s="1"/>
  <c r="E203"/>
  <c r="M203"/>
  <c r="R205"/>
  <c r="S205" s="1"/>
  <c r="S113"/>
  <c r="M143"/>
  <c r="M152"/>
  <c r="Q200"/>
  <c r="T200" s="1"/>
  <c r="Q201"/>
  <c r="T201" s="1"/>
  <c r="M202"/>
  <c r="M196" l="1"/>
  <c r="S80"/>
  <c r="S108"/>
  <c r="S104"/>
  <c r="S90"/>
  <c r="S27"/>
  <c r="S105"/>
  <c r="S87"/>
  <c r="T6"/>
  <c r="T28"/>
  <c r="T143"/>
  <c r="T100"/>
  <c r="T152"/>
  <c r="S138"/>
  <c r="T138"/>
  <c r="S135"/>
  <c r="T135"/>
  <c r="S116"/>
  <c r="T116"/>
  <c r="T16"/>
  <c r="T113"/>
  <c r="T83"/>
  <c r="T32"/>
  <c r="T115"/>
  <c r="T25"/>
  <c r="T71"/>
  <c r="T59"/>
  <c r="T40"/>
  <c r="T60"/>
  <c r="T41"/>
  <c r="S146"/>
  <c r="T146"/>
  <c r="S156"/>
  <c r="T156"/>
  <c r="S178"/>
  <c r="T178"/>
  <c r="T36"/>
  <c r="T112"/>
  <c r="T102"/>
  <c r="T79"/>
  <c r="T46"/>
  <c r="T30"/>
  <c r="T130"/>
  <c r="T62"/>
  <c r="T43"/>
  <c r="T98"/>
  <c r="T54"/>
  <c r="T144"/>
  <c r="T33"/>
  <c r="T64"/>
  <c r="T45"/>
  <c r="T203"/>
  <c r="T38"/>
  <c r="T26"/>
  <c r="T15"/>
  <c r="S122"/>
  <c r="T122"/>
  <c r="S120"/>
  <c r="T120"/>
  <c r="S141"/>
  <c r="T141"/>
  <c r="T95"/>
  <c r="T53"/>
  <c r="T86"/>
  <c r="T47"/>
  <c r="T34"/>
  <c r="T202"/>
  <c r="T153"/>
  <c r="T67"/>
  <c r="T55"/>
  <c r="T93"/>
  <c r="S131"/>
  <c r="T131"/>
  <c r="S134"/>
  <c r="T134"/>
  <c r="S142"/>
  <c r="T142"/>
  <c r="S133"/>
  <c r="T133"/>
  <c r="T69"/>
  <c r="T111"/>
  <c r="T96"/>
  <c r="T49"/>
  <c r="T42"/>
  <c r="T97"/>
  <c r="T24"/>
  <c r="T109"/>
  <c r="T88"/>
  <c r="T74"/>
  <c r="T23"/>
  <c r="T44"/>
  <c r="T72"/>
  <c r="T29"/>
  <c r="T94"/>
  <c r="T52"/>
  <c r="T22"/>
  <c r="T18"/>
  <c r="Q207"/>
  <c r="M207"/>
  <c r="J25"/>
  <c r="K25" s="1"/>
  <c r="E196"/>
  <c r="S128"/>
  <c r="S117"/>
  <c r="S17"/>
  <c r="S85"/>
  <c r="S163"/>
  <c r="E207"/>
  <c r="J203"/>
  <c r="J207" s="1"/>
  <c r="R6"/>
  <c r="R196" s="1"/>
  <c r="S159"/>
  <c r="R200"/>
  <c r="R201"/>
  <c r="S201" s="1"/>
  <c r="G22" i="42"/>
  <c r="I22" s="1"/>
  <c r="J33" i="110"/>
  <c r="T196" l="1"/>
  <c r="N22" i="42" s="1"/>
  <c r="S15" i="110"/>
  <c r="S6"/>
  <c r="K33"/>
  <c r="K196" s="1"/>
  <c r="T207"/>
  <c r="N25" i="42" s="1"/>
  <c r="J196" i="110"/>
  <c r="K203"/>
  <c r="K207" s="1"/>
  <c r="S200"/>
  <c r="S207" s="1"/>
  <c r="L25" i="42" s="1"/>
  <c r="R207" i="110"/>
  <c r="S196" l="1"/>
  <c r="L22" i="42" s="1"/>
  <c r="L23" l="1"/>
  <c r="G28" i="96"/>
  <c r="H28"/>
  <c r="J17"/>
  <c r="J11"/>
  <c r="J6"/>
  <c r="H23" i="42" l="1"/>
  <c r="H26" s="1"/>
  <c r="G23"/>
  <c r="G26" s="1"/>
  <c r="I23" l="1"/>
  <c r="I26" s="1"/>
  <c r="H7" i="78"/>
  <c r="H8"/>
  <c r="H9"/>
  <c r="H10"/>
  <c r="H11"/>
  <c r="H12"/>
  <c r="H13"/>
  <c r="H14"/>
  <c r="H15"/>
  <c r="H16"/>
  <c r="H17"/>
  <c r="H18"/>
  <c r="H19"/>
  <c r="H20"/>
  <c r="H21"/>
  <c r="H22"/>
  <c r="H23"/>
  <c r="H24"/>
  <c r="H25"/>
  <c r="H26"/>
  <c r="H27"/>
  <c r="H28"/>
  <c r="H29"/>
  <c r="H30"/>
  <c r="H31"/>
  <c r="H32"/>
  <c r="H33"/>
  <c r="H34"/>
  <c r="H35"/>
  <c r="H36"/>
  <c r="H6"/>
  <c r="H38" s="1"/>
  <c r="J7" i="96"/>
  <c r="J8"/>
  <c r="J10"/>
  <c r="J12"/>
  <c r="J13"/>
  <c r="J14"/>
  <c r="J15"/>
  <c r="J16"/>
  <c r="J18"/>
  <c r="J19"/>
  <c r="J21"/>
  <c r="J22"/>
  <c r="J23"/>
  <c r="J24"/>
  <c r="J25"/>
  <c r="J26"/>
  <c r="J27"/>
  <c r="J32"/>
  <c r="J34" s="1"/>
  <c r="N23" i="42" l="1"/>
  <c r="N26" s="1"/>
  <c r="J28" i="96"/>
  <c r="L26" i="42" l="1"/>
  <c r="D55" i="82" l="1"/>
  <c r="I28" i="96" l="1"/>
  <c r="AE16" i="109" l="1"/>
  <c r="AF3"/>
  <c r="AF4"/>
  <c r="AF5"/>
  <c r="AF6"/>
  <c r="AF7"/>
  <c r="AF8"/>
  <c r="AF9"/>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F49"/>
  <c r="AF50"/>
  <c r="AF51"/>
  <c r="AF52"/>
  <c r="AF53"/>
  <c r="AF55"/>
  <c r="AF56"/>
  <c r="AF57"/>
  <c r="AF58"/>
  <c r="AF59"/>
  <c r="AF60"/>
  <c r="AF61"/>
  <c r="AF62"/>
  <c r="AF63"/>
  <c r="AF64"/>
  <c r="AF65"/>
  <c r="AF66"/>
  <c r="AF67"/>
  <c r="AF68"/>
  <c r="AF69"/>
  <c r="AF70"/>
  <c r="AF71"/>
  <c r="AF72"/>
  <c r="AF73"/>
  <c r="AF74"/>
  <c r="AF75"/>
  <c r="AF76"/>
  <c r="AF77"/>
  <c r="AF78"/>
  <c r="AF79"/>
  <c r="AF80"/>
  <c r="AF81"/>
  <c r="AF82"/>
  <c r="AF83"/>
  <c r="AF84"/>
  <c r="AF85"/>
  <c r="AF86"/>
  <c r="AF87"/>
  <c r="AF88"/>
  <c r="AF89"/>
  <c r="AF90"/>
  <c r="AF91"/>
  <c r="AF92"/>
  <c r="AF2"/>
  <c r="AE3"/>
  <c r="AE5"/>
  <c r="AE9"/>
  <c r="AE19"/>
  <c r="AE23"/>
  <c r="AE25"/>
  <c r="AE30"/>
  <c r="AE32"/>
  <c r="AE33"/>
  <c r="AE38"/>
  <c r="AE63"/>
  <c r="AC3"/>
  <c r="AC5"/>
  <c r="AC9"/>
  <c r="AC19"/>
  <c r="AC23"/>
  <c r="AC25"/>
  <c r="AC30"/>
  <c r="AC33"/>
  <c r="AC38"/>
  <c r="AC63"/>
  <c r="B121"/>
  <c r="C120"/>
  <c r="V92"/>
  <c r="AB92" s="1"/>
  <c r="AC92" s="1"/>
  <c r="U92"/>
  <c r="X92" s="1"/>
  <c r="L92"/>
  <c r="K92"/>
  <c r="F92"/>
  <c r="BM91"/>
  <c r="V91"/>
  <c r="AB91" s="1"/>
  <c r="AC91" s="1"/>
  <c r="U91"/>
  <c r="X91" s="1"/>
  <c r="M91"/>
  <c r="K91"/>
  <c r="BV90"/>
  <c r="BQ90"/>
  <c r="BR90" s="1"/>
  <c r="BP90"/>
  <c r="BM90"/>
  <c r="AA90"/>
  <c r="V90"/>
  <c r="AB90" s="1"/>
  <c r="AC90" s="1"/>
  <c r="U90"/>
  <c r="V89"/>
  <c r="AB89" s="1"/>
  <c r="AC89" s="1"/>
  <c r="U89"/>
  <c r="Y89" s="1"/>
  <c r="V88"/>
  <c r="AB88" s="1"/>
  <c r="AC88" s="1"/>
  <c r="U88"/>
  <c r="Y88" s="1"/>
  <c r="V87"/>
  <c r="AB87" s="1"/>
  <c r="AC87" s="1"/>
  <c r="U87"/>
  <c r="Y87" s="1"/>
  <c r="S86"/>
  <c r="V86" s="1"/>
  <c r="AB86" s="1"/>
  <c r="AC86" s="1"/>
  <c r="S85"/>
  <c r="V85" s="1"/>
  <c r="AB85" s="1"/>
  <c r="AC85" s="1"/>
  <c r="L85"/>
  <c r="K85"/>
  <c r="J85"/>
  <c r="G85"/>
  <c r="F85"/>
  <c r="S84"/>
  <c r="V84" s="1"/>
  <c r="AB84" s="1"/>
  <c r="AC84" s="1"/>
  <c r="M84"/>
  <c r="J84"/>
  <c r="G84"/>
  <c r="F84"/>
  <c r="AB83"/>
  <c r="AC83" s="1"/>
  <c r="S83"/>
  <c r="V83" s="1"/>
  <c r="L83"/>
  <c r="K83"/>
  <c r="J83"/>
  <c r="G83"/>
  <c r="S82"/>
  <c r="V82" s="1"/>
  <c r="AB82" s="1"/>
  <c r="AC82" s="1"/>
  <c r="L82"/>
  <c r="K82"/>
  <c r="J82"/>
  <c r="G82"/>
  <c r="Z81"/>
  <c r="AA81" s="1"/>
  <c r="Y81"/>
  <c r="V81"/>
  <c r="AB81" s="1"/>
  <c r="AC81" s="1"/>
  <c r="K81"/>
  <c r="J81"/>
  <c r="Z80"/>
  <c r="AA80" s="1"/>
  <c r="Y80"/>
  <c r="V80"/>
  <c r="AB80" s="1"/>
  <c r="AC80" s="1"/>
  <c r="M80"/>
  <c r="J80"/>
  <c r="S79"/>
  <c r="U79" s="1"/>
  <c r="J79"/>
  <c r="S78"/>
  <c r="U78" s="1"/>
  <c r="K78"/>
  <c r="J78"/>
  <c r="S77"/>
  <c r="V77" s="1"/>
  <c r="AB77" s="1"/>
  <c r="AC77" s="1"/>
  <c r="K77"/>
  <c r="J77"/>
  <c r="S76"/>
  <c r="V76" s="1"/>
  <c r="AB76" s="1"/>
  <c r="AC76" s="1"/>
  <c r="K76"/>
  <c r="M76" s="1"/>
  <c r="J76"/>
  <c r="Z75"/>
  <c r="AA75" s="1"/>
  <c r="Y75"/>
  <c r="V75"/>
  <c r="AB75" s="1"/>
  <c r="AC75" s="1"/>
  <c r="L75"/>
  <c r="K75"/>
  <c r="J75"/>
  <c r="Z74"/>
  <c r="AA74" s="1"/>
  <c r="Y74"/>
  <c r="V74"/>
  <c r="AB74" s="1"/>
  <c r="AC74" s="1"/>
  <c r="K74"/>
  <c r="M74" s="1"/>
  <c r="J74"/>
  <c r="Z73"/>
  <c r="AA73" s="1"/>
  <c r="Y73"/>
  <c r="V73"/>
  <c r="AB73" s="1"/>
  <c r="AC73" s="1"/>
  <c r="M73"/>
  <c r="J73"/>
  <c r="Z72"/>
  <c r="AA72" s="1"/>
  <c r="Y72"/>
  <c r="V72"/>
  <c r="AB72" s="1"/>
  <c r="AC72" s="1"/>
  <c r="M72"/>
  <c r="J72"/>
  <c r="Z71"/>
  <c r="AA71" s="1"/>
  <c r="Y71"/>
  <c r="V71"/>
  <c r="AB71" s="1"/>
  <c r="AC71" s="1"/>
  <c r="M71"/>
  <c r="J71"/>
  <c r="Y70"/>
  <c r="V70"/>
  <c r="L70"/>
  <c r="K70"/>
  <c r="H70" s="1"/>
  <c r="Y69"/>
  <c r="V69"/>
  <c r="K69"/>
  <c r="M69" s="1"/>
  <c r="I69"/>
  <c r="S68"/>
  <c r="V68" s="1"/>
  <c r="L68"/>
  <c r="K68"/>
  <c r="Z67"/>
  <c r="AA67" s="1"/>
  <c r="Y67"/>
  <c r="V67"/>
  <c r="AB67" s="1"/>
  <c r="AC67" s="1"/>
  <c r="L67"/>
  <c r="K67"/>
  <c r="J67"/>
  <c r="S66"/>
  <c r="V66" s="1"/>
  <c r="K66"/>
  <c r="H66" s="1"/>
  <c r="G66"/>
  <c r="Z65"/>
  <c r="AA65" s="1"/>
  <c r="Y65"/>
  <c r="V65"/>
  <c r="AB65" s="1"/>
  <c r="AC65" s="1"/>
  <c r="K65"/>
  <c r="M65" s="1"/>
  <c r="J65"/>
  <c r="Z64"/>
  <c r="AA64" s="1"/>
  <c r="Y64"/>
  <c r="V64"/>
  <c r="AB64" s="1"/>
  <c r="AC64" s="1"/>
  <c r="M64"/>
  <c r="J64"/>
  <c r="G64"/>
  <c r="S63"/>
  <c r="V63" s="1"/>
  <c r="K63"/>
  <c r="G63"/>
  <c r="E63"/>
  <c r="F63" s="1"/>
  <c r="S62"/>
  <c r="V62" s="1"/>
  <c r="AB62" s="1"/>
  <c r="AC62" s="1"/>
  <c r="L62"/>
  <c r="K62"/>
  <c r="J62"/>
  <c r="S61"/>
  <c r="U61" s="1"/>
  <c r="K61"/>
  <c r="M61" s="1"/>
  <c r="G61"/>
  <c r="Z60"/>
  <c r="AA60" s="1"/>
  <c r="Y60"/>
  <c r="V60"/>
  <c r="AB60" s="1"/>
  <c r="AC60" s="1"/>
  <c r="L60"/>
  <c r="K60"/>
  <c r="Z59"/>
  <c r="AA59" s="1"/>
  <c r="Y59"/>
  <c r="V59"/>
  <c r="AC59" s="1"/>
  <c r="K59"/>
  <c r="M59" s="1"/>
  <c r="I59"/>
  <c r="J59" s="1"/>
  <c r="G59"/>
  <c r="S58"/>
  <c r="V58" s="1"/>
  <c r="AB58" s="1"/>
  <c r="AC58" s="1"/>
  <c r="L58"/>
  <c r="K58"/>
  <c r="G58"/>
  <c r="S57"/>
  <c r="V57" s="1"/>
  <c r="AB57" s="1"/>
  <c r="AC57" s="1"/>
  <c r="K57"/>
  <c r="M57" s="1"/>
  <c r="J57"/>
  <c r="G57"/>
  <c r="S56"/>
  <c r="V56" s="1"/>
  <c r="K56"/>
  <c r="M56" s="1"/>
  <c r="Y55"/>
  <c r="V55"/>
  <c r="M55"/>
  <c r="I55"/>
  <c r="H55"/>
  <c r="Z54"/>
  <c r="V54"/>
  <c r="AE54" s="1"/>
  <c r="J54"/>
  <c r="D54"/>
  <c r="AF54" s="1"/>
  <c r="Y53"/>
  <c r="V53"/>
  <c r="M53"/>
  <c r="H53"/>
  <c r="AC53" s="1"/>
  <c r="Y52"/>
  <c r="V52"/>
  <c r="K52"/>
  <c r="M52" s="1"/>
  <c r="I52"/>
  <c r="S51"/>
  <c r="V51" s="1"/>
  <c r="AB51" s="1"/>
  <c r="AC51" s="1"/>
  <c r="N51"/>
  <c r="K51"/>
  <c r="J51"/>
  <c r="S50"/>
  <c r="V50" s="1"/>
  <c r="N50"/>
  <c r="K50"/>
  <c r="H50" s="1"/>
  <c r="V49"/>
  <c r="AB49" s="1"/>
  <c r="AC49" s="1"/>
  <c r="U49"/>
  <c r="Z49" s="1"/>
  <c r="AA49" s="1"/>
  <c r="N49"/>
  <c r="M49"/>
  <c r="K49"/>
  <c r="J49"/>
  <c r="S48"/>
  <c r="U48" s="1"/>
  <c r="K48"/>
  <c r="J48"/>
  <c r="S47"/>
  <c r="V47" s="1"/>
  <c r="AB47" s="1"/>
  <c r="AC47" s="1"/>
  <c r="N47"/>
  <c r="K47"/>
  <c r="J47"/>
  <c r="S46"/>
  <c r="V46" s="1"/>
  <c r="AB46" s="1"/>
  <c r="AC46" s="1"/>
  <c r="N46"/>
  <c r="K46"/>
  <c r="J46"/>
  <c r="Y45"/>
  <c r="V45"/>
  <c r="N45"/>
  <c r="M45"/>
  <c r="K45"/>
  <c r="H45" s="1"/>
  <c r="I45"/>
  <c r="Y44"/>
  <c r="V44"/>
  <c r="N44"/>
  <c r="L44"/>
  <c r="K44"/>
  <c r="H44" s="1"/>
  <c r="I44"/>
  <c r="S43"/>
  <c r="U43" s="1"/>
  <c r="K43"/>
  <c r="J43"/>
  <c r="S42"/>
  <c r="V42" s="1"/>
  <c r="AB42" s="1"/>
  <c r="AC42" s="1"/>
  <c r="N42"/>
  <c r="K42"/>
  <c r="J42"/>
  <c r="S41"/>
  <c r="U41" s="1"/>
  <c r="M41"/>
  <c r="J41"/>
  <c r="S40"/>
  <c r="V40" s="1"/>
  <c r="AB40" s="1"/>
  <c r="E40" s="1"/>
  <c r="F40" s="1"/>
  <c r="M40"/>
  <c r="J40"/>
  <c r="S39"/>
  <c r="V39" s="1"/>
  <c r="AB39" s="1"/>
  <c r="AC39" s="1"/>
  <c r="K39"/>
  <c r="M39" s="1"/>
  <c r="J39"/>
  <c r="S38"/>
  <c r="V38" s="1"/>
  <c r="N38"/>
  <c r="K38"/>
  <c r="E38"/>
  <c r="F38" s="1"/>
  <c r="S37"/>
  <c r="V37" s="1"/>
  <c r="AB37" s="1"/>
  <c r="AC37" s="1"/>
  <c r="N37"/>
  <c r="K37"/>
  <c r="J37"/>
  <c r="S36"/>
  <c r="V36" s="1"/>
  <c r="N36"/>
  <c r="L36"/>
  <c r="K36"/>
  <c r="S35"/>
  <c r="V35" s="1"/>
  <c r="AB35" s="1"/>
  <c r="AC35" s="1"/>
  <c r="N35"/>
  <c r="M35"/>
  <c r="J35"/>
  <c r="S34"/>
  <c r="V34" s="1"/>
  <c r="AB34" s="1"/>
  <c r="AC34" s="1"/>
  <c r="N34"/>
  <c r="M34"/>
  <c r="K34"/>
  <c r="J34"/>
  <c r="S33"/>
  <c r="V33" s="1"/>
  <c r="N33"/>
  <c r="K33"/>
  <c r="M33" s="1"/>
  <c r="E33"/>
  <c r="F33" s="1"/>
  <c r="S32"/>
  <c r="V32" s="1"/>
  <c r="AC32" s="1"/>
  <c r="P32"/>
  <c r="N32"/>
  <c r="M32"/>
  <c r="L32"/>
  <c r="K32"/>
  <c r="S31"/>
  <c r="U31" s="1"/>
  <c r="Y31" s="1"/>
  <c r="N31"/>
  <c r="K31"/>
  <c r="X31" s="1"/>
  <c r="S30"/>
  <c r="U30" s="1"/>
  <c r="Y30" s="1"/>
  <c r="L30"/>
  <c r="K30" s="1"/>
  <c r="E30"/>
  <c r="F30" s="1"/>
  <c r="S29"/>
  <c r="U29" s="1"/>
  <c r="Y29" s="1"/>
  <c r="N29"/>
  <c r="M29"/>
  <c r="K29"/>
  <c r="H29" s="1"/>
  <c r="S28"/>
  <c r="U28" s="1"/>
  <c r="K28"/>
  <c r="M28" s="1"/>
  <c r="S27"/>
  <c r="V27" s="1"/>
  <c r="H27"/>
  <c r="S26"/>
  <c r="U26" s="1"/>
  <c r="N26"/>
  <c r="K26"/>
  <c r="J26"/>
  <c r="S25"/>
  <c r="V25" s="1"/>
  <c r="N25"/>
  <c r="K25"/>
  <c r="J25"/>
  <c r="E25"/>
  <c r="F25" s="1"/>
  <c r="S24"/>
  <c r="U24" s="1"/>
  <c r="L24"/>
  <c r="J24"/>
  <c r="S23"/>
  <c r="V23" s="1"/>
  <c r="P23"/>
  <c r="N23"/>
  <c r="K23"/>
  <c r="H23" s="1"/>
  <c r="E23"/>
  <c r="F23" s="1"/>
  <c r="S22"/>
  <c r="U22" s="1"/>
  <c r="Y22" s="1"/>
  <c r="N22"/>
  <c r="K22"/>
  <c r="S21"/>
  <c r="V21" s="1"/>
  <c r="K21"/>
  <c r="M21" s="1"/>
  <c r="S20"/>
  <c r="U20" s="1"/>
  <c r="Y20" s="1"/>
  <c r="N20"/>
  <c r="M20"/>
  <c r="L20"/>
  <c r="K20"/>
  <c r="H20" s="1"/>
  <c r="S19"/>
  <c r="U19" s="1"/>
  <c r="N19"/>
  <c r="K19"/>
  <c r="E19"/>
  <c r="F19" s="1"/>
  <c r="S18"/>
  <c r="V18" s="1"/>
  <c r="N18"/>
  <c r="K18"/>
  <c r="H18" s="1"/>
  <c r="S17"/>
  <c r="V17" s="1"/>
  <c r="AB17" s="1"/>
  <c r="AC17" s="1"/>
  <c r="N17"/>
  <c r="K17"/>
  <c r="J17"/>
  <c r="Y16"/>
  <c r="V16"/>
  <c r="N16"/>
  <c r="K16"/>
  <c r="M16" s="1"/>
  <c r="H16"/>
  <c r="S15"/>
  <c r="U15" s="1"/>
  <c r="M15"/>
  <c r="K15"/>
  <c r="J15"/>
  <c r="Z14"/>
  <c r="AA14" s="1"/>
  <c r="Y14"/>
  <c r="V14"/>
  <c r="AB14" s="1"/>
  <c r="AC14" s="1"/>
  <c r="N14"/>
  <c r="K14"/>
  <c r="M14" s="1"/>
  <c r="J14"/>
  <c r="S13"/>
  <c r="V13" s="1"/>
  <c r="AB13" s="1"/>
  <c r="AC13" s="1"/>
  <c r="K13"/>
  <c r="J13"/>
  <c r="S12"/>
  <c r="U12" s="1"/>
  <c r="N12"/>
  <c r="K12"/>
  <c r="J12"/>
  <c r="S11"/>
  <c r="U11" s="1"/>
  <c r="Y11" s="1"/>
  <c r="K11"/>
  <c r="H11" s="1"/>
  <c r="J11" s="1"/>
  <c r="Z10"/>
  <c r="AA10" s="1"/>
  <c r="Y10"/>
  <c r="V10"/>
  <c r="AB10" s="1"/>
  <c r="AC10" s="1"/>
  <c r="N10"/>
  <c r="K10"/>
  <c r="L10" s="1"/>
  <c r="J10"/>
  <c r="S9"/>
  <c r="U9" s="1"/>
  <c r="N9"/>
  <c r="L9"/>
  <c r="K9"/>
  <c r="J9"/>
  <c r="E9"/>
  <c r="F9" s="1"/>
  <c r="S8"/>
  <c r="V8" s="1"/>
  <c r="N8"/>
  <c r="K8"/>
  <c r="H8" s="1"/>
  <c r="S7"/>
  <c r="U7" s="1"/>
  <c r="N7"/>
  <c r="K7"/>
  <c r="M7" s="1"/>
  <c r="J7"/>
  <c r="Z6"/>
  <c r="AA6" s="1"/>
  <c r="Y6"/>
  <c r="V6"/>
  <c r="AC6" s="1"/>
  <c r="J6"/>
  <c r="S5"/>
  <c r="U5" s="1"/>
  <c r="N5"/>
  <c r="K5"/>
  <c r="I5"/>
  <c r="J5" s="1"/>
  <c r="E5"/>
  <c r="F5" s="1"/>
  <c r="S4"/>
  <c r="V4" s="1"/>
  <c r="AB4" s="1"/>
  <c r="AC4" s="1"/>
  <c r="K4"/>
  <c r="J4"/>
  <c r="V3"/>
  <c r="U3"/>
  <c r="Y3" s="1"/>
  <c r="K3"/>
  <c r="H3"/>
  <c r="E3"/>
  <c r="F3" s="1"/>
  <c r="S2"/>
  <c r="V2" s="1"/>
  <c r="AB2" s="1"/>
  <c r="AC2" s="1"/>
  <c r="M2"/>
  <c r="L2"/>
  <c r="J2"/>
  <c r="AB88" i="108"/>
  <c r="E83" i="109" l="1"/>
  <c r="F83" s="1"/>
  <c r="W15"/>
  <c r="X19"/>
  <c r="AB50"/>
  <c r="AC50" s="1"/>
  <c r="W12"/>
  <c r="W26"/>
  <c r="H69"/>
  <c r="AB8"/>
  <c r="AC8" s="1"/>
  <c r="X5"/>
  <c r="X22"/>
  <c r="AE83"/>
  <c r="X3"/>
  <c r="M58"/>
  <c r="AE92"/>
  <c r="AE90"/>
  <c r="AE88"/>
  <c r="AE86"/>
  <c r="AE84"/>
  <c r="AE82"/>
  <c r="AE80"/>
  <c r="AE76"/>
  <c r="AE74"/>
  <c r="AE72"/>
  <c r="AE64"/>
  <c r="AE62"/>
  <c r="AE60"/>
  <c r="AE58"/>
  <c r="AE50"/>
  <c r="AE46"/>
  <c r="AE42"/>
  <c r="AE40"/>
  <c r="AE34"/>
  <c r="AE14"/>
  <c r="AE10"/>
  <c r="AE6"/>
  <c r="AE4"/>
  <c r="AE2"/>
  <c r="AE91"/>
  <c r="AE89"/>
  <c r="AE87"/>
  <c r="AE85"/>
  <c r="AE81"/>
  <c r="AE77"/>
  <c r="AE75"/>
  <c r="AE73"/>
  <c r="AE71"/>
  <c r="AE67"/>
  <c r="AE65"/>
  <c r="AE59"/>
  <c r="AE57"/>
  <c r="AE53"/>
  <c r="AE51"/>
  <c r="AE49"/>
  <c r="AE47"/>
  <c r="AE39"/>
  <c r="AE37"/>
  <c r="AE35"/>
  <c r="AE17"/>
  <c r="AE13"/>
  <c r="X30"/>
  <c r="U34"/>
  <c r="Y34" s="1"/>
  <c r="U56"/>
  <c r="X56" s="1"/>
  <c r="AB66"/>
  <c r="E66" s="1"/>
  <c r="F66" s="1"/>
  <c r="K2"/>
  <c r="AY91" s="1"/>
  <c r="H22"/>
  <c r="W22" s="1"/>
  <c r="I22" s="1"/>
  <c r="H30"/>
  <c r="J30" s="1"/>
  <c r="U2"/>
  <c r="Y2" s="1"/>
  <c r="M3"/>
  <c r="W29"/>
  <c r="I29" s="1"/>
  <c r="J29" s="1"/>
  <c r="E39"/>
  <c r="F39" s="1"/>
  <c r="M60"/>
  <c r="M67"/>
  <c r="E69"/>
  <c r="F69" s="1"/>
  <c r="M75"/>
  <c r="M85"/>
  <c r="H31"/>
  <c r="J31" s="1"/>
  <c r="U36"/>
  <c r="Y36" s="1"/>
  <c r="U39"/>
  <c r="Z39" s="1"/>
  <c r="AA39" s="1"/>
  <c r="AC54"/>
  <c r="U46"/>
  <c r="Z46" s="1"/>
  <c r="AA46" s="1"/>
  <c r="U50"/>
  <c r="Y50" s="1"/>
  <c r="U85"/>
  <c r="Z85" s="1"/>
  <c r="AA85" s="1"/>
  <c r="AC40"/>
  <c r="W7"/>
  <c r="E16"/>
  <c r="F16" s="1"/>
  <c r="H21"/>
  <c r="AB21" s="1"/>
  <c r="U21"/>
  <c r="Y21" s="1"/>
  <c r="U23"/>
  <c r="Y23" s="1"/>
  <c r="AB27"/>
  <c r="W30"/>
  <c r="H33"/>
  <c r="H36"/>
  <c r="AB36" s="1"/>
  <c r="U37"/>
  <c r="Y37" s="1"/>
  <c r="U38"/>
  <c r="Y38" s="1"/>
  <c r="U40"/>
  <c r="W40" s="1"/>
  <c r="M44"/>
  <c r="U47"/>
  <c r="Z47" s="1"/>
  <c r="AA47" s="1"/>
  <c r="U51"/>
  <c r="Z51" s="1"/>
  <c r="AA51" s="1"/>
  <c r="Y54"/>
  <c r="AA54"/>
  <c r="U76"/>
  <c r="Y76" s="1"/>
  <c r="N85"/>
  <c r="Z87"/>
  <c r="AA87" s="1"/>
  <c r="AE55"/>
  <c r="H68"/>
  <c r="AB68" s="1"/>
  <c r="U68"/>
  <c r="Y68" s="1"/>
  <c r="Z89"/>
  <c r="AA89" s="1"/>
  <c r="M92"/>
  <c r="E4"/>
  <c r="F4" s="1"/>
  <c r="Y9"/>
  <c r="Z9"/>
  <c r="AA9" s="1"/>
  <c r="Y12"/>
  <c r="Z12"/>
  <c r="AA12" s="1"/>
  <c r="E17"/>
  <c r="F17" s="1"/>
  <c r="Z24"/>
  <c r="AA24" s="1"/>
  <c r="W24"/>
  <c r="Y24"/>
  <c r="E32"/>
  <c r="F32" s="1"/>
  <c r="E34"/>
  <c r="F34" s="1"/>
  <c r="E2"/>
  <c r="E6"/>
  <c r="F6" s="1"/>
  <c r="Y7"/>
  <c r="Z7"/>
  <c r="AA7" s="1"/>
  <c r="E10"/>
  <c r="F10" s="1"/>
  <c r="E13"/>
  <c r="F13" s="1"/>
  <c r="E14"/>
  <c r="F14" s="1"/>
  <c r="Y15"/>
  <c r="Z15"/>
  <c r="AA15" s="1"/>
  <c r="Y19"/>
  <c r="W19"/>
  <c r="I19" s="1"/>
  <c r="J19" s="1"/>
  <c r="Z19"/>
  <c r="AA19" s="1"/>
  <c r="Y26"/>
  <c r="Z26"/>
  <c r="AA26" s="1"/>
  <c r="Y28"/>
  <c r="W28"/>
  <c r="I28" s="1"/>
  <c r="J28" s="1"/>
  <c r="Z28"/>
  <c r="AA28" s="1"/>
  <c r="E35"/>
  <c r="F35" s="1"/>
  <c r="E37"/>
  <c r="F37" s="1"/>
  <c r="W9"/>
  <c r="W11"/>
  <c r="AB18"/>
  <c r="X29"/>
  <c r="Y41"/>
  <c r="W41"/>
  <c r="Z41"/>
  <c r="AA41" s="1"/>
  <c r="X41"/>
  <c r="E42"/>
  <c r="F42" s="1"/>
  <c r="E44"/>
  <c r="F44" s="1"/>
  <c r="Z45"/>
  <c r="AA45" s="1"/>
  <c r="J45"/>
  <c r="E46"/>
  <c r="F46" s="1"/>
  <c r="E57"/>
  <c r="F57" s="1"/>
  <c r="E58"/>
  <c r="F58" s="1"/>
  <c r="E59"/>
  <c r="F59" s="1"/>
  <c r="Y61"/>
  <c r="W61"/>
  <c r="Z61"/>
  <c r="AA61" s="1"/>
  <c r="X61"/>
  <c r="E62"/>
  <c r="F62" s="1"/>
  <c r="E67"/>
  <c r="F67" s="1"/>
  <c r="E71"/>
  <c r="F71" s="1"/>
  <c r="E73"/>
  <c r="F73" s="1"/>
  <c r="Y78"/>
  <c r="Z78"/>
  <c r="AA78" s="1"/>
  <c r="Y79"/>
  <c r="Z79"/>
  <c r="AA79" s="1"/>
  <c r="E81"/>
  <c r="F81" s="1"/>
  <c r="E84"/>
  <c r="E88"/>
  <c r="F88" s="1"/>
  <c r="E89"/>
  <c r="F89" s="1"/>
  <c r="M4"/>
  <c r="U4"/>
  <c r="X4" s="1"/>
  <c r="M5"/>
  <c r="V5"/>
  <c r="V7"/>
  <c r="AB7" s="1"/>
  <c r="X7"/>
  <c r="U8"/>
  <c r="Y8" s="1"/>
  <c r="M9"/>
  <c r="V9"/>
  <c r="X9"/>
  <c r="M10"/>
  <c r="V11"/>
  <c r="AB11" s="1"/>
  <c r="X11"/>
  <c r="Z11"/>
  <c r="AA11" s="1"/>
  <c r="M12"/>
  <c r="V12"/>
  <c r="AB12" s="1"/>
  <c r="X12"/>
  <c r="M13"/>
  <c r="U13"/>
  <c r="W13" s="1"/>
  <c r="V15"/>
  <c r="AB15" s="1"/>
  <c r="X15"/>
  <c r="U17"/>
  <c r="X17" s="1"/>
  <c r="U18"/>
  <c r="Y18" s="1"/>
  <c r="M19"/>
  <c r="V19"/>
  <c r="V20"/>
  <c r="AB20" s="1"/>
  <c r="X20"/>
  <c r="Z20"/>
  <c r="AA20" s="1"/>
  <c r="M22"/>
  <c r="V22"/>
  <c r="Z22"/>
  <c r="AA22" s="1"/>
  <c r="M23"/>
  <c r="V24"/>
  <c r="AB24" s="1"/>
  <c r="U25"/>
  <c r="X25" s="1"/>
  <c r="M26"/>
  <c r="V26"/>
  <c r="AB26" s="1"/>
  <c r="X26"/>
  <c r="U27"/>
  <c r="Y27" s="1"/>
  <c r="V28"/>
  <c r="AB28" s="1"/>
  <c r="X28"/>
  <c r="V29"/>
  <c r="AB29" s="1"/>
  <c r="Z29"/>
  <c r="AA29" s="1"/>
  <c r="V30"/>
  <c r="M31"/>
  <c r="V31"/>
  <c r="Z31"/>
  <c r="AA31" s="1"/>
  <c r="U32"/>
  <c r="U33"/>
  <c r="Y33" s="1"/>
  <c r="Z34"/>
  <c r="AA34" s="1"/>
  <c r="U35"/>
  <c r="M36"/>
  <c r="M37"/>
  <c r="H38"/>
  <c r="M38"/>
  <c r="W43"/>
  <c r="W48"/>
  <c r="Y43"/>
  <c r="Z43"/>
  <c r="AA43" s="1"/>
  <c r="E47"/>
  <c r="F47" s="1"/>
  <c r="Y48"/>
  <c r="Z48"/>
  <c r="AA48" s="1"/>
  <c r="E49"/>
  <c r="F49" s="1"/>
  <c r="E50"/>
  <c r="F50" s="1"/>
  <c r="E51"/>
  <c r="F51" s="1"/>
  <c r="E53"/>
  <c r="F53" s="1"/>
  <c r="E54"/>
  <c r="F54" s="1"/>
  <c r="E60"/>
  <c r="F60" s="1"/>
  <c r="E64"/>
  <c r="F64" s="1"/>
  <c r="E65"/>
  <c r="F65" s="1"/>
  <c r="E72"/>
  <c r="F72" s="1"/>
  <c r="E74"/>
  <c r="F74" s="1"/>
  <c r="E75"/>
  <c r="F75" s="1"/>
  <c r="E76"/>
  <c r="F76" s="1"/>
  <c r="E77"/>
  <c r="F77" s="1"/>
  <c r="E80"/>
  <c r="F80" s="1"/>
  <c r="G80" s="1"/>
  <c r="E82"/>
  <c r="F82" s="1"/>
  <c r="E85"/>
  <c r="E86"/>
  <c r="F86" s="1"/>
  <c r="E87"/>
  <c r="F87" s="1"/>
  <c r="AZ91"/>
  <c r="Z3"/>
  <c r="AA3" s="1"/>
  <c r="J8"/>
  <c r="M8"/>
  <c r="M11"/>
  <c r="J16"/>
  <c r="Z16"/>
  <c r="AA16" s="1"/>
  <c r="M17"/>
  <c r="M18"/>
  <c r="W20"/>
  <c r="I20" s="1"/>
  <c r="J20" s="1"/>
  <c r="M25"/>
  <c r="W78"/>
  <c r="V41"/>
  <c r="AB41" s="1"/>
  <c r="U42"/>
  <c r="V43"/>
  <c r="AB43" s="1"/>
  <c r="X43"/>
  <c r="J44"/>
  <c r="V48"/>
  <c r="AB48" s="1"/>
  <c r="X48"/>
  <c r="Y49"/>
  <c r="O56"/>
  <c r="U57"/>
  <c r="U58"/>
  <c r="V61"/>
  <c r="AB61" s="1"/>
  <c r="U62"/>
  <c r="M63"/>
  <c r="H63" s="1"/>
  <c r="U63"/>
  <c r="Y63" s="1"/>
  <c r="J66"/>
  <c r="M66"/>
  <c r="U66"/>
  <c r="Y66" s="1"/>
  <c r="J69"/>
  <c r="I70"/>
  <c r="J70" s="1"/>
  <c r="Z70"/>
  <c r="AA70" s="1"/>
  <c r="Z76"/>
  <c r="AA76" s="1"/>
  <c r="M77"/>
  <c r="U77"/>
  <c r="W77" s="1"/>
  <c r="V78"/>
  <c r="AB78" s="1"/>
  <c r="X78"/>
  <c r="V79"/>
  <c r="AB79" s="1"/>
  <c r="U82"/>
  <c r="U83"/>
  <c r="U84"/>
  <c r="U86"/>
  <c r="Z88"/>
  <c r="AA88" s="1"/>
  <c r="Y91"/>
  <c r="Z91" s="1"/>
  <c r="AA91" s="1"/>
  <c r="Y92"/>
  <c r="Z92" s="1"/>
  <c r="AA92" s="1"/>
  <c r="M43"/>
  <c r="Z44"/>
  <c r="AA44" s="1"/>
  <c r="M46"/>
  <c r="M47"/>
  <c r="M48"/>
  <c r="J50"/>
  <c r="M50"/>
  <c r="M51"/>
  <c r="H52"/>
  <c r="J53"/>
  <c r="Z53"/>
  <c r="AA53" s="1"/>
  <c r="J55"/>
  <c r="Z55"/>
  <c r="AA55" s="1"/>
  <c r="H56"/>
  <c r="M62"/>
  <c r="P62" s="1"/>
  <c r="M68"/>
  <c r="Z69"/>
  <c r="AA69" s="1"/>
  <c r="M78"/>
  <c r="W31" l="1"/>
  <c r="E8"/>
  <c r="F8" s="1"/>
  <c r="AE8"/>
  <c r="W37"/>
  <c r="W85"/>
  <c r="Y39"/>
  <c r="J68"/>
  <c r="Y56"/>
  <c r="W51"/>
  <c r="Y46"/>
  <c r="W39"/>
  <c r="Z30"/>
  <c r="AA30" s="1"/>
  <c r="W23"/>
  <c r="I23" s="1"/>
  <c r="J23" s="1"/>
  <c r="Y85"/>
  <c r="W46"/>
  <c r="X39"/>
  <c r="AB31"/>
  <c r="AC31" s="1"/>
  <c r="X46"/>
  <c r="J22"/>
  <c r="Z50"/>
  <c r="AA50" s="1"/>
  <c r="Z18"/>
  <c r="AA18" s="1"/>
  <c r="X2"/>
  <c r="Z37"/>
  <c r="AA37" s="1"/>
  <c r="X34"/>
  <c r="AB22"/>
  <c r="AE22" s="1"/>
  <c r="X47"/>
  <c r="X21"/>
  <c r="AC61"/>
  <c r="AE61"/>
  <c r="AC48"/>
  <c r="AE48"/>
  <c r="AC28"/>
  <c r="AE28"/>
  <c r="AC24"/>
  <c r="AE24"/>
  <c r="AC21"/>
  <c r="AE21"/>
  <c r="AC7"/>
  <c r="AE7"/>
  <c r="AC27"/>
  <c r="AE27"/>
  <c r="AC16"/>
  <c r="AC69"/>
  <c r="AE69"/>
  <c r="AC66"/>
  <c r="AE66"/>
  <c r="AC79"/>
  <c r="AE79"/>
  <c r="AC78"/>
  <c r="AE78"/>
  <c r="AC70"/>
  <c r="AE70"/>
  <c r="AC43"/>
  <c r="AE43"/>
  <c r="AC41"/>
  <c r="AE41"/>
  <c r="AC36"/>
  <c r="AE36"/>
  <c r="AC29"/>
  <c r="AE29"/>
  <c r="AC26"/>
  <c r="AE26"/>
  <c r="AC20"/>
  <c r="AE20"/>
  <c r="AC15"/>
  <c r="AE15"/>
  <c r="AC12"/>
  <c r="AE12"/>
  <c r="AC11"/>
  <c r="AE11"/>
  <c r="AC45"/>
  <c r="AE45"/>
  <c r="AC18"/>
  <c r="AE18"/>
  <c r="AC68"/>
  <c r="AE68"/>
  <c r="AC44"/>
  <c r="AE44"/>
  <c r="W34"/>
  <c r="X38"/>
  <c r="Z23"/>
  <c r="AA23" s="1"/>
  <c r="Z68"/>
  <c r="AA68" s="1"/>
  <c r="W50"/>
  <c r="W47"/>
  <c r="Z2"/>
  <c r="AA2" s="1"/>
  <c r="E68"/>
  <c r="F68" s="1"/>
  <c r="Z36"/>
  <c r="AA36" s="1"/>
  <c r="W25"/>
  <c r="Z40"/>
  <c r="AA40" s="1"/>
  <c r="E27"/>
  <c r="F27" s="1"/>
  <c r="X50"/>
  <c r="W36"/>
  <c r="I36" s="1"/>
  <c r="J36" s="1"/>
  <c r="E55"/>
  <c r="F55" s="1"/>
  <c r="AC55"/>
  <c r="Z27"/>
  <c r="AA27" s="1"/>
  <c r="X23"/>
  <c r="W21"/>
  <c r="I21" s="1"/>
  <c r="J21" s="1"/>
  <c r="X36"/>
  <c r="BA91"/>
  <c r="Z66"/>
  <c r="AA66" s="1"/>
  <c r="X76"/>
  <c r="X68"/>
  <c r="W66"/>
  <c r="Y51"/>
  <c r="Y47"/>
  <c r="X66"/>
  <c r="Z8"/>
  <c r="AA8" s="1"/>
  <c r="Y40"/>
  <c r="X37"/>
  <c r="W27"/>
  <c r="I27" s="1"/>
  <c r="J27" s="1"/>
  <c r="Z21"/>
  <c r="AA21" s="1"/>
  <c r="W18"/>
  <c r="I18" s="1"/>
  <c r="J18" s="1"/>
  <c r="W17"/>
  <c r="W8"/>
  <c r="W4"/>
  <c r="X40"/>
  <c r="W76"/>
  <c r="X51"/>
  <c r="W68"/>
  <c r="Y83"/>
  <c r="Z83"/>
  <c r="AA83" s="1"/>
  <c r="Z82"/>
  <c r="AA82" s="1"/>
  <c r="Y82"/>
  <c r="Z62"/>
  <c r="AA62" s="1"/>
  <c r="Y62"/>
  <c r="W62"/>
  <c r="Z58"/>
  <c r="AA58" s="1"/>
  <c r="X58"/>
  <c r="Y58"/>
  <c r="W58"/>
  <c r="I58" s="1"/>
  <c r="J58" s="1"/>
  <c r="E43"/>
  <c r="F43" s="1"/>
  <c r="Z42"/>
  <c r="AA42" s="1"/>
  <c r="Y42"/>
  <c r="Z35"/>
  <c r="AA35" s="1"/>
  <c r="X35"/>
  <c r="Y35"/>
  <c r="W35"/>
  <c r="E28"/>
  <c r="F28" s="1"/>
  <c r="E26"/>
  <c r="F26" s="1"/>
  <c r="E24"/>
  <c r="F24" s="1"/>
  <c r="E20"/>
  <c r="F20" s="1"/>
  <c r="E12"/>
  <c r="F12" s="1"/>
  <c r="E11"/>
  <c r="F11" s="1"/>
  <c r="E18"/>
  <c r="F18" s="1"/>
  <c r="W83"/>
  <c r="X62"/>
  <c r="X33"/>
  <c r="AB56"/>
  <c r="Z56"/>
  <c r="AA56" s="1"/>
  <c r="W56"/>
  <c r="I56" s="1"/>
  <c r="J56" s="1"/>
  <c r="J52"/>
  <c r="Z52"/>
  <c r="AA52" s="1"/>
  <c r="Y86"/>
  <c r="Z86"/>
  <c r="AA86" s="1"/>
  <c r="W86"/>
  <c r="Y84"/>
  <c r="Z84"/>
  <c r="AA84" s="1"/>
  <c r="W84"/>
  <c r="E79"/>
  <c r="E78"/>
  <c r="F78" s="1"/>
  <c r="Z77"/>
  <c r="AA77" s="1"/>
  <c r="Y77"/>
  <c r="E70"/>
  <c r="F70" s="1"/>
  <c r="Z63"/>
  <c r="AA63" s="1"/>
  <c r="W63"/>
  <c r="I63" s="1"/>
  <c r="J63" s="1"/>
  <c r="E61"/>
  <c r="F61" s="1"/>
  <c r="Z57"/>
  <c r="AA57" s="1"/>
  <c r="X57"/>
  <c r="Y57"/>
  <c r="W57"/>
  <c r="E48"/>
  <c r="F48" s="1"/>
  <c r="E41"/>
  <c r="F41" s="1"/>
  <c r="Z38"/>
  <c r="AA38" s="1"/>
  <c r="W38"/>
  <c r="I38" s="1"/>
  <c r="J38" s="1"/>
  <c r="E36"/>
  <c r="F36" s="1"/>
  <c r="Z32"/>
  <c r="AA32" s="1"/>
  <c r="Y32"/>
  <c r="W32"/>
  <c r="I32" s="1"/>
  <c r="J32" s="1"/>
  <c r="E29"/>
  <c r="F29" s="1"/>
  <c r="Z25"/>
  <c r="AA25" s="1"/>
  <c r="Y25"/>
  <c r="E21"/>
  <c r="F21" s="1"/>
  <c r="Z17"/>
  <c r="AA17" s="1"/>
  <c r="Y17"/>
  <c r="E15"/>
  <c r="F15" s="1"/>
  <c r="Z13"/>
  <c r="AA13" s="1"/>
  <c r="Y13"/>
  <c r="E7"/>
  <c r="F7" s="1"/>
  <c r="Z4"/>
  <c r="AA4" s="1"/>
  <c r="Y4"/>
  <c r="E45"/>
  <c r="F45" s="1"/>
  <c r="F2"/>
  <c r="W82"/>
  <c r="W42"/>
  <c r="X82"/>
  <c r="X63"/>
  <c r="X77"/>
  <c r="X42"/>
  <c r="W33"/>
  <c r="I33" s="1"/>
  <c r="J33" s="1"/>
  <c r="X32"/>
  <c r="X8"/>
  <c r="Z33"/>
  <c r="AA33" s="1"/>
  <c r="X18"/>
  <c r="X13"/>
  <c r="E22" l="1"/>
  <c r="F22" s="1"/>
  <c r="E31"/>
  <c r="F31" s="1"/>
  <c r="AC22"/>
  <c r="AE31"/>
  <c r="AC52"/>
  <c r="AE52"/>
  <c r="AC56"/>
  <c r="AE56"/>
  <c r="F79"/>
  <c r="G79" s="1"/>
  <c r="E56"/>
  <c r="F56" s="1"/>
  <c r="BQ91"/>
  <c r="E52"/>
  <c r="BR91"/>
  <c r="F52" l="1"/>
  <c r="G62" i="108" l="1"/>
  <c r="G63"/>
  <c r="G64"/>
  <c r="G66"/>
  <c r="G68"/>
  <c r="G69"/>
  <c r="G71"/>
  <c r="G87"/>
  <c r="G88"/>
  <c r="G89"/>
  <c r="G90"/>
  <c r="L2"/>
  <c r="M2"/>
  <c r="K3"/>
  <c r="M3" s="1"/>
  <c r="K4"/>
  <c r="M4" s="1"/>
  <c r="K5"/>
  <c r="M5" s="1"/>
  <c r="N5"/>
  <c r="K7"/>
  <c r="M7" s="1"/>
  <c r="N7"/>
  <c r="K8"/>
  <c r="M8" s="1"/>
  <c r="N8"/>
  <c r="K9"/>
  <c r="L9"/>
  <c r="N9"/>
  <c r="K10"/>
  <c r="L10" s="1"/>
  <c r="M10" s="1"/>
  <c r="N10"/>
  <c r="K11"/>
  <c r="M11" s="1"/>
  <c r="K12"/>
  <c r="M12" s="1"/>
  <c r="N12"/>
  <c r="K13"/>
  <c r="M13" s="1"/>
  <c r="K14"/>
  <c r="M14" s="1"/>
  <c r="N14"/>
  <c r="K15"/>
  <c r="M15"/>
  <c r="K16"/>
  <c r="M16" s="1"/>
  <c r="N16"/>
  <c r="K17"/>
  <c r="M17" s="1"/>
  <c r="N17"/>
  <c r="K18"/>
  <c r="M18" s="1"/>
  <c r="N18"/>
  <c r="K19"/>
  <c r="M19" s="1"/>
  <c r="N19"/>
  <c r="K20"/>
  <c r="H20" s="1"/>
  <c r="L20"/>
  <c r="M20"/>
  <c r="N20"/>
  <c r="K22"/>
  <c r="M22" s="1"/>
  <c r="K23"/>
  <c r="M23" s="1"/>
  <c r="N23"/>
  <c r="K24"/>
  <c r="M24" s="1"/>
  <c r="N24"/>
  <c r="P24"/>
  <c r="L25"/>
  <c r="K26"/>
  <c r="M26" s="1"/>
  <c r="N26"/>
  <c r="K27"/>
  <c r="M27" s="1"/>
  <c r="N27"/>
  <c r="K29"/>
  <c r="M29" s="1"/>
  <c r="K30"/>
  <c r="M30"/>
  <c r="N30"/>
  <c r="L31"/>
  <c r="K31" s="1"/>
  <c r="K32"/>
  <c r="M32" s="1"/>
  <c r="N32"/>
  <c r="K33"/>
  <c r="L33"/>
  <c r="M33"/>
  <c r="N33"/>
  <c r="P33"/>
  <c r="K34"/>
  <c r="M34" s="1"/>
  <c r="N34"/>
  <c r="K35"/>
  <c r="M35"/>
  <c r="N35"/>
  <c r="M36"/>
  <c r="N36"/>
  <c r="K37"/>
  <c r="H37" s="1"/>
  <c r="L37"/>
  <c r="N37"/>
  <c r="K38"/>
  <c r="M38" s="1"/>
  <c r="N38"/>
  <c r="K39"/>
  <c r="M39" s="1"/>
  <c r="N39"/>
  <c r="K40"/>
  <c r="M40" s="1"/>
  <c r="M41"/>
  <c r="M42"/>
  <c r="K43"/>
  <c r="N43"/>
  <c r="K44"/>
  <c r="M44" s="1"/>
  <c r="K45"/>
  <c r="H45" s="1"/>
  <c r="L45"/>
  <c r="N45"/>
  <c r="K46"/>
  <c r="H46" s="1"/>
  <c r="M46"/>
  <c r="N46"/>
  <c r="K47"/>
  <c r="M47" s="1"/>
  <c r="N47"/>
  <c r="K48"/>
  <c r="M48" s="1"/>
  <c r="N48"/>
  <c r="M49"/>
  <c r="M50"/>
  <c r="K51"/>
  <c r="M51" s="1"/>
  <c r="K52"/>
  <c r="M52"/>
  <c r="N52"/>
  <c r="K54"/>
  <c r="M54" s="1"/>
  <c r="N54"/>
  <c r="K55"/>
  <c r="M55" s="1"/>
  <c r="N55"/>
  <c r="K56"/>
  <c r="M56" s="1"/>
  <c r="M57"/>
  <c r="M59"/>
  <c r="M60"/>
  <c r="K61"/>
  <c r="M61" s="1"/>
  <c r="K62"/>
  <c r="M62" s="1"/>
  <c r="K63"/>
  <c r="L63"/>
  <c r="K64"/>
  <c r="M64" s="1"/>
  <c r="K65"/>
  <c r="L65"/>
  <c r="K66"/>
  <c r="M66" s="1"/>
  <c r="K67"/>
  <c r="L67"/>
  <c r="K68"/>
  <c r="M68" s="1"/>
  <c r="H68" s="1"/>
  <c r="M69"/>
  <c r="K70"/>
  <c r="M70" s="1"/>
  <c r="K71"/>
  <c r="M71" s="1"/>
  <c r="K72"/>
  <c r="L72"/>
  <c r="K73"/>
  <c r="H73" s="1"/>
  <c r="L73"/>
  <c r="K74"/>
  <c r="M74" s="1"/>
  <c r="K75"/>
  <c r="H75" s="1"/>
  <c r="L75"/>
  <c r="M76"/>
  <c r="M77"/>
  <c r="M78"/>
  <c r="K79"/>
  <c r="M79" s="1"/>
  <c r="K80"/>
  <c r="L80"/>
  <c r="K81"/>
  <c r="M81" s="1"/>
  <c r="K82"/>
  <c r="M82" s="1"/>
  <c r="K83"/>
  <c r="M83" s="1"/>
  <c r="M85"/>
  <c r="K86"/>
  <c r="K87"/>
  <c r="L87"/>
  <c r="K88"/>
  <c r="L88"/>
  <c r="M89"/>
  <c r="K90"/>
  <c r="N90" s="1"/>
  <c r="L90"/>
  <c r="K96"/>
  <c r="M96"/>
  <c r="K97"/>
  <c r="L97"/>
  <c r="B126"/>
  <c r="C125"/>
  <c r="V97"/>
  <c r="AB97" s="1"/>
  <c r="AE97" s="1"/>
  <c r="U97"/>
  <c r="X97" s="1"/>
  <c r="F97"/>
  <c r="BN96"/>
  <c r="V96"/>
  <c r="AB96" s="1"/>
  <c r="AE96" s="1"/>
  <c r="U96"/>
  <c r="X96" s="1"/>
  <c r="BW95"/>
  <c r="BR95"/>
  <c r="BS95" s="1"/>
  <c r="BQ95"/>
  <c r="BN95"/>
  <c r="AA95"/>
  <c r="V95"/>
  <c r="AB95" s="1"/>
  <c r="AE95" s="1"/>
  <c r="U95"/>
  <c r="V94"/>
  <c r="AB94" s="1"/>
  <c r="U94"/>
  <c r="Y94" s="1"/>
  <c r="V93"/>
  <c r="AB93" s="1"/>
  <c r="U93"/>
  <c r="Y93" s="1"/>
  <c r="V92"/>
  <c r="AB92" s="1"/>
  <c r="U92"/>
  <c r="Y92" s="1"/>
  <c r="S91"/>
  <c r="V91" s="1"/>
  <c r="AB91" s="1"/>
  <c r="S90"/>
  <c r="V90" s="1"/>
  <c r="AB90" s="1"/>
  <c r="J90"/>
  <c r="F90"/>
  <c r="S89"/>
  <c r="V89" s="1"/>
  <c r="AB89" s="1"/>
  <c r="J89"/>
  <c r="F89"/>
  <c r="S88"/>
  <c r="V88" s="1"/>
  <c r="J88"/>
  <c r="S87"/>
  <c r="U87" s="1"/>
  <c r="J87"/>
  <c r="Z86"/>
  <c r="AA86" s="1"/>
  <c r="Y86"/>
  <c r="V86"/>
  <c r="AB86" s="1"/>
  <c r="J86"/>
  <c r="Z85"/>
  <c r="AA85" s="1"/>
  <c r="Y85"/>
  <c r="V85"/>
  <c r="AB85" s="1"/>
  <c r="J85"/>
  <c r="S84"/>
  <c r="V84" s="1"/>
  <c r="AB84" s="1"/>
  <c r="J84"/>
  <c r="S83"/>
  <c r="V83" s="1"/>
  <c r="AB83" s="1"/>
  <c r="J83"/>
  <c r="S82"/>
  <c r="V82" s="1"/>
  <c r="AB82" s="1"/>
  <c r="J82"/>
  <c r="S81"/>
  <c r="V81" s="1"/>
  <c r="AB81" s="1"/>
  <c r="J81"/>
  <c r="Z80"/>
  <c r="AA80" s="1"/>
  <c r="Y80"/>
  <c r="V80"/>
  <c r="AB80" s="1"/>
  <c r="J80"/>
  <c r="Z79"/>
  <c r="AA79" s="1"/>
  <c r="Y79"/>
  <c r="V79"/>
  <c r="AB79" s="1"/>
  <c r="J79"/>
  <c r="Z78"/>
  <c r="AA78" s="1"/>
  <c r="Y78"/>
  <c r="V78"/>
  <c r="AB78" s="1"/>
  <c r="J78"/>
  <c r="Z77"/>
  <c r="AA77" s="1"/>
  <c r="Y77"/>
  <c r="V77"/>
  <c r="AB77" s="1"/>
  <c r="J77"/>
  <c r="Z76"/>
  <c r="AA76" s="1"/>
  <c r="Y76"/>
  <c r="V76"/>
  <c r="AB76" s="1"/>
  <c r="J76"/>
  <c r="Y75"/>
  <c r="V75"/>
  <c r="Y74"/>
  <c r="V74"/>
  <c r="I74"/>
  <c r="S73"/>
  <c r="V73" s="1"/>
  <c r="Z72"/>
  <c r="AA72" s="1"/>
  <c r="Y72"/>
  <c r="V72"/>
  <c r="AB72" s="1"/>
  <c r="J72"/>
  <c r="S71"/>
  <c r="U71" s="1"/>
  <c r="Y71" s="1"/>
  <c r="Z70"/>
  <c r="AA70" s="1"/>
  <c r="Y70"/>
  <c r="V70"/>
  <c r="AB70" s="1"/>
  <c r="J70"/>
  <c r="Z69"/>
  <c r="AA69" s="1"/>
  <c r="Y69"/>
  <c r="V69"/>
  <c r="AB69" s="1"/>
  <c r="J69"/>
  <c r="S68"/>
  <c r="U68" s="1"/>
  <c r="Y68" s="1"/>
  <c r="S67"/>
  <c r="V67" s="1"/>
  <c r="AB67" s="1"/>
  <c r="J67"/>
  <c r="S66"/>
  <c r="V66" s="1"/>
  <c r="AB66" s="1"/>
  <c r="Z65"/>
  <c r="AA65" s="1"/>
  <c r="Y65"/>
  <c r="V65"/>
  <c r="AB65" s="1"/>
  <c r="Z64"/>
  <c r="AA64" s="1"/>
  <c r="Y64"/>
  <c r="V64"/>
  <c r="AB64" s="1"/>
  <c r="I64"/>
  <c r="J64" s="1"/>
  <c r="S63"/>
  <c r="V63" s="1"/>
  <c r="AB63" s="1"/>
  <c r="S62"/>
  <c r="V62" s="1"/>
  <c r="AB62" s="1"/>
  <c r="J62"/>
  <c r="S61"/>
  <c r="V61" s="1"/>
  <c r="Y60"/>
  <c r="V60"/>
  <c r="I60"/>
  <c r="H60"/>
  <c r="Z59"/>
  <c r="AA59" s="1"/>
  <c r="Y59"/>
  <c r="V59"/>
  <c r="AB59" s="1"/>
  <c r="J59"/>
  <c r="Z58"/>
  <c r="V58"/>
  <c r="AB58" s="1"/>
  <c r="E58" s="1"/>
  <c r="J58"/>
  <c r="D58"/>
  <c r="AJ96" s="1"/>
  <c r="Y57"/>
  <c r="V57"/>
  <c r="H57"/>
  <c r="J57" s="1"/>
  <c r="Y56"/>
  <c r="V56"/>
  <c r="I56"/>
  <c r="S55"/>
  <c r="U55" s="1"/>
  <c r="J55"/>
  <c r="S54"/>
  <c r="V54" s="1"/>
  <c r="V53"/>
  <c r="AB53" s="1"/>
  <c r="U53"/>
  <c r="Z53" s="1"/>
  <c r="AA53" s="1"/>
  <c r="V52"/>
  <c r="AB52" s="1"/>
  <c r="U52"/>
  <c r="Y52" s="1"/>
  <c r="J52"/>
  <c r="S51"/>
  <c r="U51" s="1"/>
  <c r="J51"/>
  <c r="Z50"/>
  <c r="AA50" s="1"/>
  <c r="Y50"/>
  <c r="V50"/>
  <c r="AB50" s="1"/>
  <c r="J50"/>
  <c r="Z49"/>
  <c r="AA49" s="1"/>
  <c r="Y49"/>
  <c r="V49"/>
  <c r="AB49" s="1"/>
  <c r="J49"/>
  <c r="S48"/>
  <c r="U48" s="1"/>
  <c r="J48"/>
  <c r="S47"/>
  <c r="V47" s="1"/>
  <c r="AB47" s="1"/>
  <c r="J47"/>
  <c r="Y46"/>
  <c r="V46"/>
  <c r="I46"/>
  <c r="Y45"/>
  <c r="V45"/>
  <c r="I45"/>
  <c r="S44"/>
  <c r="U44" s="1"/>
  <c r="J44"/>
  <c r="S43"/>
  <c r="U43" s="1"/>
  <c r="J43"/>
  <c r="S42"/>
  <c r="U42" s="1"/>
  <c r="J42"/>
  <c r="S41"/>
  <c r="U41" s="1"/>
  <c r="J41"/>
  <c r="S40"/>
  <c r="U40" s="1"/>
  <c r="J40"/>
  <c r="S39"/>
  <c r="V39" s="1"/>
  <c r="S38"/>
  <c r="U38" s="1"/>
  <c r="J38"/>
  <c r="S37"/>
  <c r="U37" s="1"/>
  <c r="Y37" s="1"/>
  <c r="S36"/>
  <c r="U36" s="1"/>
  <c r="J36"/>
  <c r="S35"/>
  <c r="U35" s="1"/>
  <c r="J35"/>
  <c r="S34"/>
  <c r="V34" s="1"/>
  <c r="S33"/>
  <c r="U33" s="1"/>
  <c r="S32"/>
  <c r="V32" s="1"/>
  <c r="S31"/>
  <c r="U31" s="1"/>
  <c r="Y31" s="1"/>
  <c r="S30"/>
  <c r="V30" s="1"/>
  <c r="S29"/>
  <c r="U29" s="1"/>
  <c r="S28"/>
  <c r="U28" s="1"/>
  <c r="Y28" s="1"/>
  <c r="H28"/>
  <c r="S27"/>
  <c r="U27" s="1"/>
  <c r="J27"/>
  <c r="S26"/>
  <c r="U26" s="1"/>
  <c r="J26"/>
  <c r="S25"/>
  <c r="U25" s="1"/>
  <c r="J25"/>
  <c r="S24"/>
  <c r="V24" s="1"/>
  <c r="S23"/>
  <c r="U23" s="1"/>
  <c r="Y23" s="1"/>
  <c r="S22"/>
  <c r="V22" s="1"/>
  <c r="S21"/>
  <c r="V21" s="1"/>
  <c r="AB21" s="1"/>
  <c r="S20"/>
  <c r="V20" s="1"/>
  <c r="S19"/>
  <c r="V19" s="1"/>
  <c r="S18"/>
  <c r="V18" s="1"/>
  <c r="S17"/>
  <c r="U17" s="1"/>
  <c r="J17"/>
  <c r="Y16"/>
  <c r="V16"/>
  <c r="H16"/>
  <c r="J16" s="1"/>
  <c r="S15"/>
  <c r="V15" s="1"/>
  <c r="AB15" s="1"/>
  <c r="J15"/>
  <c r="Z14"/>
  <c r="AA14" s="1"/>
  <c r="Y14"/>
  <c r="V14"/>
  <c r="AB14" s="1"/>
  <c r="J14"/>
  <c r="S13"/>
  <c r="U13" s="1"/>
  <c r="J13"/>
  <c r="S12"/>
  <c r="V12" s="1"/>
  <c r="AB12" s="1"/>
  <c r="J12"/>
  <c r="S11"/>
  <c r="U11" s="1"/>
  <c r="Y11" s="1"/>
  <c r="Z10"/>
  <c r="AA10" s="1"/>
  <c r="Y10"/>
  <c r="V10"/>
  <c r="AB10" s="1"/>
  <c r="J10"/>
  <c r="S9"/>
  <c r="V9" s="1"/>
  <c r="J9"/>
  <c r="S8"/>
  <c r="U8" s="1"/>
  <c r="Y8" s="1"/>
  <c r="S7"/>
  <c r="U7" s="1"/>
  <c r="J7"/>
  <c r="Z6"/>
  <c r="AA6" s="1"/>
  <c r="Y6"/>
  <c r="V6"/>
  <c r="AB6" s="1"/>
  <c r="J6"/>
  <c r="S5"/>
  <c r="U5" s="1"/>
  <c r="I5"/>
  <c r="E5"/>
  <c r="F5" s="1"/>
  <c r="S4"/>
  <c r="U4" s="1"/>
  <c r="J4"/>
  <c r="V3"/>
  <c r="U3"/>
  <c r="Y3" s="1"/>
  <c r="H3"/>
  <c r="S2"/>
  <c r="U2" s="1"/>
  <c r="J2"/>
  <c r="J95" i="106"/>
  <c r="J94"/>
  <c r="J87"/>
  <c r="J67"/>
  <c r="J62"/>
  <c r="J54"/>
  <c r="J53"/>
  <c r="J38"/>
  <c r="J37"/>
  <c r="J36"/>
  <c r="J31"/>
  <c r="J30"/>
  <c r="J29"/>
  <c r="J28"/>
  <c r="J27"/>
  <c r="J23"/>
  <c r="J22"/>
  <c r="J21"/>
  <c r="J20"/>
  <c r="J19"/>
  <c r="J18"/>
  <c r="J11"/>
  <c r="J8"/>
  <c r="J5"/>
  <c r="E98"/>
  <c r="I83"/>
  <c r="I82"/>
  <c r="I81"/>
  <c r="I80"/>
  <c r="I79"/>
  <c r="I75"/>
  <c r="I74"/>
  <c r="I73"/>
  <c r="I72"/>
  <c r="I71"/>
  <c r="I70"/>
  <c r="I69"/>
  <c r="I68"/>
  <c r="I66"/>
  <c r="I65"/>
  <c r="I64"/>
  <c r="I63"/>
  <c r="I60"/>
  <c r="I59"/>
  <c r="I58"/>
  <c r="I57"/>
  <c r="I56"/>
  <c r="I55"/>
  <c r="I52"/>
  <c r="I51"/>
  <c r="I50"/>
  <c r="I49"/>
  <c r="I47"/>
  <c r="I46"/>
  <c r="I45"/>
  <c r="I44"/>
  <c r="I43"/>
  <c r="I42"/>
  <c r="I41"/>
  <c r="I40"/>
  <c r="I39"/>
  <c r="I35"/>
  <c r="I34"/>
  <c r="I33"/>
  <c r="I32"/>
  <c r="I26"/>
  <c r="I25"/>
  <c r="I24"/>
  <c r="I17"/>
  <c r="I16"/>
  <c r="I15"/>
  <c r="I14"/>
  <c r="I13"/>
  <c r="I12"/>
  <c r="I10"/>
  <c r="I9"/>
  <c r="I7"/>
  <c r="I6"/>
  <c r="I4"/>
  <c r="I3"/>
  <c r="I2"/>
  <c r="AB60" i="108" l="1"/>
  <c r="W40"/>
  <c r="H54"/>
  <c r="J54" s="1"/>
  <c r="H56"/>
  <c r="Z56" s="1"/>
  <c r="AA56" s="1"/>
  <c r="W87"/>
  <c r="I98" i="106"/>
  <c r="AE88" i="108"/>
  <c r="H74"/>
  <c r="AB74" s="1"/>
  <c r="AE74" s="1"/>
  <c r="W4"/>
  <c r="X33"/>
  <c r="H71"/>
  <c r="J71" s="1"/>
  <c r="M9"/>
  <c r="W7"/>
  <c r="H34"/>
  <c r="M37"/>
  <c r="K2"/>
  <c r="AZ96" s="1"/>
  <c r="M97"/>
  <c r="M72"/>
  <c r="M65"/>
  <c r="M45"/>
  <c r="H23"/>
  <c r="W27"/>
  <c r="W43"/>
  <c r="M90"/>
  <c r="M80"/>
  <c r="M73"/>
  <c r="M67"/>
  <c r="P67" s="1"/>
  <c r="M63"/>
  <c r="O61"/>
  <c r="X3"/>
  <c r="H18"/>
  <c r="AB18" s="1"/>
  <c r="AE18" s="1"/>
  <c r="H22"/>
  <c r="AB22" s="1"/>
  <c r="AE22" s="1"/>
  <c r="W23"/>
  <c r="I23" s="1"/>
  <c r="W26"/>
  <c r="H32"/>
  <c r="J32" s="1"/>
  <c r="W55"/>
  <c r="AB20"/>
  <c r="E20" s="1"/>
  <c r="F20" s="1"/>
  <c r="U73"/>
  <c r="Y73" s="1"/>
  <c r="X8"/>
  <c r="U30"/>
  <c r="H8"/>
  <c r="W8" s="1"/>
  <c r="U34"/>
  <c r="Y34" s="1"/>
  <c r="W35"/>
  <c r="U39"/>
  <c r="Y39" s="1"/>
  <c r="H61"/>
  <c r="AB61" s="1"/>
  <c r="E61" s="1"/>
  <c r="F61" s="1"/>
  <c r="U63"/>
  <c r="Y63" s="1"/>
  <c r="W71"/>
  <c r="Z92"/>
  <c r="AA92" s="1"/>
  <c r="X5"/>
  <c r="H11"/>
  <c r="J11" s="1"/>
  <c r="AB16"/>
  <c r="AE16" s="1"/>
  <c r="X23"/>
  <c r="H31"/>
  <c r="W31" s="1"/>
  <c r="AB45"/>
  <c r="AE45" s="1"/>
  <c r="U47"/>
  <c r="Z47" s="1"/>
  <c r="AA47" s="1"/>
  <c r="AB57"/>
  <c r="E57" s="1"/>
  <c r="F57" s="1"/>
  <c r="U88"/>
  <c r="Y88" s="1"/>
  <c r="Z94"/>
  <c r="AA94" s="1"/>
  <c r="Z2"/>
  <c r="Y2"/>
  <c r="Y4"/>
  <c r="Z4"/>
  <c r="AA4" s="1"/>
  <c r="AE6"/>
  <c r="E6"/>
  <c r="F6" s="1"/>
  <c r="Y7"/>
  <c r="Z7"/>
  <c r="AA7" s="1"/>
  <c r="E12"/>
  <c r="F12" s="1"/>
  <c r="AE12"/>
  <c r="AE14"/>
  <c r="E14"/>
  <c r="F14" s="1"/>
  <c r="AE15"/>
  <c r="E15"/>
  <c r="F15" s="1"/>
  <c r="Y26"/>
  <c r="Z26"/>
  <c r="AA26" s="1"/>
  <c r="Y36"/>
  <c r="W36"/>
  <c r="Z36"/>
  <c r="AA36" s="1"/>
  <c r="X36"/>
  <c r="W37"/>
  <c r="I37" s="1"/>
  <c r="J37" s="1"/>
  <c r="Z37"/>
  <c r="AA37" s="1"/>
  <c r="Y38"/>
  <c r="Z38"/>
  <c r="AA38" s="1"/>
  <c r="X38"/>
  <c r="W11"/>
  <c r="W13"/>
  <c r="W17"/>
  <c r="X31"/>
  <c r="E9"/>
  <c r="F9" s="1"/>
  <c r="AE9"/>
  <c r="AE10"/>
  <c r="E10"/>
  <c r="F10" s="1"/>
  <c r="Y13"/>
  <c r="Z13"/>
  <c r="AA13" s="1"/>
  <c r="E16"/>
  <c r="F16" s="1"/>
  <c r="Y17"/>
  <c r="Z17"/>
  <c r="AA17" s="1"/>
  <c r="AE19"/>
  <c r="E19"/>
  <c r="F19" s="1"/>
  <c r="Z25"/>
  <c r="AA25" s="1"/>
  <c r="W25"/>
  <c r="Y25"/>
  <c r="Y27"/>
  <c r="Z27"/>
  <c r="AA27" s="1"/>
  <c r="Y29"/>
  <c r="W29"/>
  <c r="I29" s="1"/>
  <c r="J29" s="1"/>
  <c r="Z29"/>
  <c r="AA29" s="1"/>
  <c r="Y33"/>
  <c r="W33"/>
  <c r="I33" s="1"/>
  <c r="J33" s="1"/>
  <c r="Z33"/>
  <c r="AA33" s="1"/>
  <c r="Y35"/>
  <c r="Z35"/>
  <c r="AA35" s="1"/>
  <c r="Z40"/>
  <c r="AA40" s="1"/>
  <c r="Y40"/>
  <c r="X40"/>
  <c r="W38"/>
  <c r="Y41"/>
  <c r="W41"/>
  <c r="Y43"/>
  <c r="Z43"/>
  <c r="AA43" s="1"/>
  <c r="Y44"/>
  <c r="Z44"/>
  <c r="AA44" s="1"/>
  <c r="Y48"/>
  <c r="Z48"/>
  <c r="AA48" s="1"/>
  <c r="AE50"/>
  <c r="E50"/>
  <c r="F50" s="1"/>
  <c r="Y51"/>
  <c r="Z51"/>
  <c r="AA51" s="1"/>
  <c r="AE59"/>
  <c r="E59"/>
  <c r="F59" s="1"/>
  <c r="AE63"/>
  <c r="E63"/>
  <c r="F63" s="1"/>
  <c r="AE64"/>
  <c r="E64"/>
  <c r="F64" s="1"/>
  <c r="AE67"/>
  <c r="E67"/>
  <c r="F67" s="1"/>
  <c r="AE69"/>
  <c r="E69"/>
  <c r="F69" s="1"/>
  <c r="AE72"/>
  <c r="E72"/>
  <c r="F72" s="1"/>
  <c r="AE76"/>
  <c r="E76"/>
  <c r="F76" s="1"/>
  <c r="AE77"/>
  <c r="E77"/>
  <c r="F77" s="1"/>
  <c r="AE78"/>
  <c r="E78"/>
  <c r="F78" s="1"/>
  <c r="E86"/>
  <c r="F86" s="1"/>
  <c r="AE86"/>
  <c r="Y87"/>
  <c r="Z87"/>
  <c r="AA87" s="1"/>
  <c r="E88"/>
  <c r="F88" s="1"/>
  <c r="AE89"/>
  <c r="E89"/>
  <c r="AE93"/>
  <c r="E93"/>
  <c r="F93" s="1"/>
  <c r="AE94"/>
  <c r="E94"/>
  <c r="F94" s="1"/>
  <c r="V4"/>
  <c r="AB4" s="1"/>
  <c r="X4"/>
  <c r="V5"/>
  <c r="V7"/>
  <c r="AB7" s="1"/>
  <c r="X7"/>
  <c r="V8"/>
  <c r="Z8"/>
  <c r="AA8" s="1"/>
  <c r="U9"/>
  <c r="X9" s="1"/>
  <c r="V11"/>
  <c r="X11"/>
  <c r="U12"/>
  <c r="V13"/>
  <c r="AB13" s="1"/>
  <c r="X13"/>
  <c r="U15"/>
  <c r="Z16"/>
  <c r="AA16" s="1"/>
  <c r="V17"/>
  <c r="AB17" s="1"/>
  <c r="X17"/>
  <c r="U18"/>
  <c r="Y18" s="1"/>
  <c r="U19"/>
  <c r="U20"/>
  <c r="Y20" s="1"/>
  <c r="U21"/>
  <c r="U22"/>
  <c r="Y22" s="1"/>
  <c r="V23"/>
  <c r="U24"/>
  <c r="Y24" s="1"/>
  <c r="V25"/>
  <c r="AB25" s="1"/>
  <c r="V26"/>
  <c r="X26"/>
  <c r="V27"/>
  <c r="AB27" s="1"/>
  <c r="X27"/>
  <c r="V28"/>
  <c r="AB28" s="1"/>
  <c r="V29"/>
  <c r="AB29" s="1"/>
  <c r="X29"/>
  <c r="V31"/>
  <c r="U32"/>
  <c r="Y32" s="1"/>
  <c r="V33"/>
  <c r="AB33" s="1"/>
  <c r="V35"/>
  <c r="AB35" s="1"/>
  <c r="X35"/>
  <c r="V36"/>
  <c r="AB36" s="1"/>
  <c r="V37"/>
  <c r="AB37" s="1"/>
  <c r="X37"/>
  <c r="V38"/>
  <c r="AB38" s="1"/>
  <c r="V40"/>
  <c r="AB40" s="1"/>
  <c r="X41"/>
  <c r="AB73"/>
  <c r="Y42"/>
  <c r="W42"/>
  <c r="Z42"/>
  <c r="AA42" s="1"/>
  <c r="X42"/>
  <c r="J46"/>
  <c r="AB46"/>
  <c r="Z46"/>
  <c r="AA46" s="1"/>
  <c r="E47"/>
  <c r="F47" s="1"/>
  <c r="AE47"/>
  <c r="AE49"/>
  <c r="E49"/>
  <c r="F49" s="1"/>
  <c r="AE52"/>
  <c r="E52"/>
  <c r="F52" s="1"/>
  <c r="AE53"/>
  <c r="E53"/>
  <c r="Y55"/>
  <c r="Z55"/>
  <c r="AA55" s="1"/>
  <c r="AE60"/>
  <c r="E60"/>
  <c r="F60" s="1"/>
  <c r="AE62"/>
  <c r="E62"/>
  <c r="F62" s="1"/>
  <c r="AE65"/>
  <c r="E65"/>
  <c r="F65" s="1"/>
  <c r="AE66"/>
  <c r="E66"/>
  <c r="F66" s="1"/>
  <c r="W68"/>
  <c r="I68" s="1"/>
  <c r="J68" s="1"/>
  <c r="Z68"/>
  <c r="AA68" s="1"/>
  <c r="AE70"/>
  <c r="E70"/>
  <c r="F70" s="1"/>
  <c r="AE79"/>
  <c r="E79"/>
  <c r="F79" s="1"/>
  <c r="E80"/>
  <c r="F80" s="1"/>
  <c r="AE80"/>
  <c r="AE81"/>
  <c r="E81"/>
  <c r="F81" s="1"/>
  <c r="AE82"/>
  <c r="E82"/>
  <c r="F82" s="1"/>
  <c r="AE83"/>
  <c r="E83"/>
  <c r="F83" s="1"/>
  <c r="E84"/>
  <c r="AE84"/>
  <c r="AE85"/>
  <c r="E85"/>
  <c r="F85" s="1"/>
  <c r="G85" s="1"/>
  <c r="AE90"/>
  <c r="E90"/>
  <c r="AE91"/>
  <c r="E91"/>
  <c r="F91" s="1"/>
  <c r="AE92"/>
  <c r="E92"/>
  <c r="F92" s="1"/>
  <c r="V2"/>
  <c r="AB2" s="1"/>
  <c r="BA96"/>
  <c r="Z3"/>
  <c r="AA3" s="1"/>
  <c r="J5"/>
  <c r="AE5" s="1"/>
  <c r="H24"/>
  <c r="W28"/>
  <c r="I28" s="1"/>
  <c r="J28" s="1"/>
  <c r="Z28"/>
  <c r="AA28" s="1"/>
  <c r="H30"/>
  <c r="H39"/>
  <c r="V41"/>
  <c r="AB41" s="1"/>
  <c r="Z41"/>
  <c r="AA41" s="1"/>
  <c r="W44"/>
  <c r="W48"/>
  <c r="W51"/>
  <c r="V42"/>
  <c r="AB42" s="1"/>
  <c r="V43"/>
  <c r="AB43" s="1"/>
  <c r="X43"/>
  <c r="V44"/>
  <c r="AB44" s="1"/>
  <c r="X44"/>
  <c r="J45"/>
  <c r="V48"/>
  <c r="AB48" s="1"/>
  <c r="X48"/>
  <c r="V51"/>
  <c r="AB51" s="1"/>
  <c r="X51"/>
  <c r="Z52"/>
  <c r="AA52" s="1"/>
  <c r="U54"/>
  <c r="Y54" s="1"/>
  <c r="V55"/>
  <c r="AB55" s="1"/>
  <c r="X55"/>
  <c r="Z57"/>
  <c r="AA57" s="1"/>
  <c r="F58"/>
  <c r="J60"/>
  <c r="Z60"/>
  <c r="AA60" s="1"/>
  <c r="U61"/>
  <c r="U62"/>
  <c r="U66"/>
  <c r="U67"/>
  <c r="V68"/>
  <c r="X68"/>
  <c r="V71"/>
  <c r="X71"/>
  <c r="J73"/>
  <c r="J74"/>
  <c r="I75"/>
  <c r="J75" s="1"/>
  <c r="Z75"/>
  <c r="AA75" s="1"/>
  <c r="AB75"/>
  <c r="U81"/>
  <c r="W81" s="1"/>
  <c r="U82"/>
  <c r="W82" s="1"/>
  <c r="U83"/>
  <c r="W83" s="1"/>
  <c r="U84"/>
  <c r="V87"/>
  <c r="AB87" s="1"/>
  <c r="X87"/>
  <c r="U89"/>
  <c r="U90"/>
  <c r="W90" s="1"/>
  <c r="U91"/>
  <c r="Z93"/>
  <c r="AA93" s="1"/>
  <c r="Y96"/>
  <c r="Z96" s="1"/>
  <c r="AA96" s="1"/>
  <c r="Y97"/>
  <c r="Z97" s="1"/>
  <c r="AA97" s="1"/>
  <c r="Z45"/>
  <c r="AA45" s="1"/>
  <c r="Y58"/>
  <c r="AA58"/>
  <c r="AE58"/>
  <c r="X39" l="1"/>
  <c r="AB56"/>
  <c r="J56"/>
  <c r="AB71"/>
  <c r="E71" s="1"/>
  <c r="F71" s="1"/>
  <c r="AE61"/>
  <c r="E18"/>
  <c r="F18" s="1"/>
  <c r="AB54"/>
  <c r="AE54" s="1"/>
  <c r="Z74"/>
  <c r="AA74" s="1"/>
  <c r="Z88"/>
  <c r="AA88" s="1"/>
  <c r="Z71"/>
  <c r="AA71" s="1"/>
  <c r="AB32"/>
  <c r="E32" s="1"/>
  <c r="F32" s="1"/>
  <c r="J23"/>
  <c r="Z18"/>
  <c r="AA18" s="1"/>
  <c r="X63"/>
  <c r="Y47"/>
  <c r="Z20"/>
  <c r="AA20" s="1"/>
  <c r="Z23"/>
  <c r="AA23" s="1"/>
  <c r="AE20"/>
  <c r="X2"/>
  <c r="W61"/>
  <c r="I61" s="1"/>
  <c r="J61" s="1"/>
  <c r="Z34"/>
  <c r="AA34" s="1"/>
  <c r="E74"/>
  <c r="F74" s="1"/>
  <c r="AE57"/>
  <c r="E45"/>
  <c r="F45" s="1"/>
  <c r="Z73"/>
  <c r="AA73" s="1"/>
  <c r="J31"/>
  <c r="Z31"/>
  <c r="AA31" s="1"/>
  <c r="E22"/>
  <c r="F22" s="1"/>
  <c r="W73"/>
  <c r="AB23"/>
  <c r="E23" s="1"/>
  <c r="F23" s="1"/>
  <c r="W63"/>
  <c r="I63" s="1"/>
  <c r="J63" s="1"/>
  <c r="Z63"/>
  <c r="AA63" s="1"/>
  <c r="W34"/>
  <c r="I34" s="1"/>
  <c r="J34" s="1"/>
  <c r="Z11"/>
  <c r="AA11" s="1"/>
  <c r="AB11"/>
  <c r="AE11" s="1"/>
  <c r="Z54"/>
  <c r="AA54" s="1"/>
  <c r="X73"/>
  <c r="W47"/>
  <c r="Z32"/>
  <c r="AA32" s="1"/>
  <c r="Z22"/>
  <c r="AA22" s="1"/>
  <c r="X20"/>
  <c r="AB8"/>
  <c r="E8" s="1"/>
  <c r="F8" s="1"/>
  <c r="J8"/>
  <c r="X34"/>
  <c r="Y30"/>
  <c r="X30"/>
  <c r="W22"/>
  <c r="I22" s="1"/>
  <c r="J22" s="1"/>
  <c r="W21"/>
  <c r="W20"/>
  <c r="I20" s="1"/>
  <c r="J20" s="1"/>
  <c r="Z61"/>
  <c r="AA61" s="1"/>
  <c r="W18"/>
  <c r="I18" s="1"/>
  <c r="J18" s="1"/>
  <c r="W9"/>
  <c r="W88"/>
  <c r="X47"/>
  <c r="BB96"/>
  <c r="AE68"/>
  <c r="E68"/>
  <c r="F68" s="1"/>
  <c r="AE37"/>
  <c r="E37"/>
  <c r="F37" s="1"/>
  <c r="E28"/>
  <c r="F28" s="1"/>
  <c r="AE28"/>
  <c r="AE87"/>
  <c r="E87"/>
  <c r="F87" s="1"/>
  <c r="Z82"/>
  <c r="AA82" s="1"/>
  <c r="Y82"/>
  <c r="Z67"/>
  <c r="AA67" s="1"/>
  <c r="Y67"/>
  <c r="W67"/>
  <c r="Z62"/>
  <c r="AA62" s="1"/>
  <c r="X62"/>
  <c r="Y62"/>
  <c r="W62"/>
  <c r="X61"/>
  <c r="Y61"/>
  <c r="AE55"/>
  <c r="E55"/>
  <c r="F55" s="1"/>
  <c r="AE51"/>
  <c r="E51"/>
  <c r="F51" s="1"/>
  <c r="AE48"/>
  <c r="E48"/>
  <c r="F48" s="1"/>
  <c r="AE42"/>
  <c r="E42"/>
  <c r="F42" s="1"/>
  <c r="AE41"/>
  <c r="E41"/>
  <c r="F41" s="1"/>
  <c r="Z39"/>
  <c r="AA39" s="1"/>
  <c r="W39"/>
  <c r="I39" s="1"/>
  <c r="J39" s="1"/>
  <c r="Z24"/>
  <c r="AA24" s="1"/>
  <c r="W24"/>
  <c r="I24" s="1"/>
  <c r="J24" s="1"/>
  <c r="AE73"/>
  <c r="E73"/>
  <c r="F73" s="1"/>
  <c r="AE38"/>
  <c r="E38"/>
  <c r="F38" s="1"/>
  <c r="AE36"/>
  <c r="E36"/>
  <c r="F36" s="1"/>
  <c r="AE35"/>
  <c r="E35"/>
  <c r="F35" s="1"/>
  <c r="AE33"/>
  <c r="E33"/>
  <c r="F33" s="1"/>
  <c r="AE31"/>
  <c r="E31"/>
  <c r="F31" s="1"/>
  <c r="AE29"/>
  <c r="E29"/>
  <c r="F29" s="1"/>
  <c r="Z15"/>
  <c r="AA15" s="1"/>
  <c r="Y15"/>
  <c r="AE13"/>
  <c r="E13"/>
  <c r="F13" s="1"/>
  <c r="Z12"/>
  <c r="AA12" s="1"/>
  <c r="Y12"/>
  <c r="AE7"/>
  <c r="E7"/>
  <c r="F7" s="1"/>
  <c r="AE4"/>
  <c r="E4"/>
  <c r="F4" s="1"/>
  <c r="E34"/>
  <c r="F34" s="1"/>
  <c r="AE34"/>
  <c r="AA2"/>
  <c r="W54"/>
  <c r="X54"/>
  <c r="AN96"/>
  <c r="X82"/>
  <c r="X24"/>
  <c r="X21"/>
  <c r="X18"/>
  <c r="X15"/>
  <c r="X12"/>
  <c r="Y91"/>
  <c r="Z91"/>
  <c r="AA91" s="1"/>
  <c r="W91"/>
  <c r="Y90"/>
  <c r="Z90"/>
  <c r="AA90" s="1"/>
  <c r="Y89"/>
  <c r="Z89"/>
  <c r="AA89" s="1"/>
  <c r="W89"/>
  <c r="Z84"/>
  <c r="AA84" s="1"/>
  <c r="Y84"/>
  <c r="Z83"/>
  <c r="AA83" s="1"/>
  <c r="Y83"/>
  <c r="Z81"/>
  <c r="AA81" s="1"/>
  <c r="Y81"/>
  <c r="AE75"/>
  <c r="E75"/>
  <c r="F75" s="1"/>
  <c r="Z66"/>
  <c r="AA66" s="1"/>
  <c r="X66"/>
  <c r="Y66"/>
  <c r="W66"/>
  <c r="AE44"/>
  <c r="E44"/>
  <c r="F44" s="1"/>
  <c r="AE43"/>
  <c r="E43"/>
  <c r="F43" s="1"/>
  <c r="E54"/>
  <c r="F54" s="1"/>
  <c r="AB30"/>
  <c r="Z30"/>
  <c r="AA30" s="1"/>
  <c r="W30"/>
  <c r="I30" s="1"/>
  <c r="J30" s="1"/>
  <c r="E3"/>
  <c r="F3" s="1"/>
  <c r="AE3"/>
  <c r="E2"/>
  <c r="AE2"/>
  <c r="F84"/>
  <c r="G84" s="1"/>
  <c r="AE46"/>
  <c r="E46"/>
  <c r="F46" s="1"/>
  <c r="AE40"/>
  <c r="E40"/>
  <c r="F40" s="1"/>
  <c r="AE27"/>
  <c r="E27"/>
  <c r="F27" s="1"/>
  <c r="AE26"/>
  <c r="E26"/>
  <c r="F26" s="1"/>
  <c r="AE25"/>
  <c r="E25"/>
  <c r="F25" s="1"/>
  <c r="Z21"/>
  <c r="AA21" s="1"/>
  <c r="Y21"/>
  <c r="Z19"/>
  <c r="AA19" s="1"/>
  <c r="Y19"/>
  <c r="W19"/>
  <c r="I19" s="1"/>
  <c r="J19" s="1"/>
  <c r="AE17"/>
  <c r="E17"/>
  <c r="F17" s="1"/>
  <c r="Z9"/>
  <c r="AA9" s="1"/>
  <c r="Y9"/>
  <c r="X83"/>
  <c r="X81"/>
  <c r="X67"/>
  <c r="W32"/>
  <c r="W15"/>
  <c r="W12"/>
  <c r="X32"/>
  <c r="X22"/>
  <c r="X19"/>
  <c r="AE71" l="1"/>
  <c r="AE56"/>
  <c r="E56"/>
  <c r="F56" s="1"/>
  <c r="AE32"/>
  <c r="AE23"/>
  <c r="E11"/>
  <c r="F11" s="1"/>
  <c r="AE8"/>
  <c r="AP96"/>
  <c r="E24"/>
  <c r="F24" s="1"/>
  <c r="AE24"/>
  <c r="E39"/>
  <c r="F39" s="1"/>
  <c r="AE39"/>
  <c r="BR96"/>
  <c r="AO96"/>
  <c r="F2"/>
  <c r="E30"/>
  <c r="F30" s="1"/>
  <c r="AE30"/>
  <c r="BS96"/>
  <c r="AL96" l="1"/>
  <c r="AK96"/>
  <c r="D34" i="82" l="1"/>
  <c r="P24" i="64" l="1"/>
  <c r="N19"/>
  <c r="L21"/>
  <c r="D73" i="24"/>
  <c r="E19"/>
  <c r="E20"/>
  <c r="E21"/>
  <c r="E22"/>
  <c r="E23"/>
  <c r="E24"/>
  <c r="E25"/>
  <c r="E26"/>
  <c r="E27"/>
  <c r="E28"/>
  <c r="E29"/>
  <c r="E30"/>
  <c r="E31"/>
  <c r="E32"/>
  <c r="E33"/>
  <c r="E34"/>
  <c r="E35"/>
  <c r="E36"/>
  <c r="E37"/>
  <c r="E38"/>
  <c r="E39"/>
  <c r="E40"/>
  <c r="E41"/>
  <c r="E42"/>
  <c r="E43"/>
  <c r="E44"/>
  <c r="E45"/>
  <c r="E46"/>
  <c r="E47"/>
  <c r="E48"/>
  <c r="E49"/>
  <c r="E50"/>
  <c r="E51"/>
  <c r="E52"/>
  <c r="E54"/>
  <c r="E55"/>
  <c r="E56"/>
  <c r="E57"/>
  <c r="E58"/>
  <c r="E59"/>
  <c r="E60"/>
  <c r="E61"/>
  <c r="E62"/>
  <c r="E63"/>
  <c r="E64"/>
  <c r="E65"/>
  <c r="E66"/>
  <c r="E67"/>
  <c r="E68"/>
  <c r="E69"/>
  <c r="E70"/>
  <c r="E71"/>
  <c r="E72"/>
  <c r="E18"/>
  <c r="C53"/>
  <c r="E53" s="1"/>
  <c r="F13"/>
  <c r="E12" i="63"/>
  <c r="G73" i="24"/>
  <c r="A19"/>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F73"/>
  <c r="C612" i="36"/>
  <c r="A27" i="53"/>
  <c r="A28" s="1"/>
  <c r="A29" s="1"/>
  <c r="A30" s="1"/>
  <c r="A31" s="1"/>
  <c r="A32" s="1"/>
  <c r="A33" s="1"/>
  <c r="A34" s="1"/>
  <c r="A35" s="1"/>
  <c r="A36" s="1"/>
  <c r="A37" s="1"/>
  <c r="A38" s="1"/>
  <c r="A39" s="1"/>
  <c r="A40" s="1"/>
  <c r="A41" s="1"/>
  <c r="A42" s="1"/>
  <c r="A43" s="1"/>
  <c r="A44" s="1"/>
  <c r="A20" i="52"/>
  <c r="A21" s="1"/>
  <c r="A22" s="1"/>
  <c r="A23" s="1"/>
  <c r="A24" s="1"/>
  <c r="A10"/>
  <c r="A11" s="1"/>
  <c r="A12" s="1"/>
  <c r="A13" s="1"/>
  <c r="A14" s="1"/>
  <c r="A15" s="1"/>
  <c r="A16" s="1"/>
  <c r="A17" s="1"/>
  <c r="A7"/>
  <c r="A11" i="51"/>
  <c r="A12" s="1"/>
  <c r="A13" s="1"/>
  <c r="A14" s="1"/>
  <c r="A15" s="1"/>
  <c r="A16" s="1"/>
  <c r="A17" s="1"/>
  <c r="A18" s="1"/>
  <c r="A19" s="1"/>
  <c r="A20" s="1"/>
  <c r="A21" s="1"/>
  <c r="A22" s="1"/>
  <c r="A23" s="1"/>
  <c r="A24" s="1"/>
  <c r="G12" i="42"/>
  <c r="F12"/>
  <c r="D12"/>
  <c r="J2" i="40"/>
  <c r="L2" i="39"/>
  <c r="J2" i="28"/>
  <c r="G22" i="5"/>
  <c r="G23" s="1"/>
  <c r="H26" i="1"/>
  <c r="F26"/>
  <c r="I19" s="1"/>
  <c r="K49" i="11"/>
  <c r="K48"/>
  <c r="J2"/>
  <c r="J3" s="1"/>
  <c r="J55"/>
  <c r="J56" s="1"/>
  <c r="I18" i="1"/>
  <c r="G25" i="11"/>
  <c r="G29" s="1"/>
  <c r="C17" i="20" s="1"/>
  <c r="C27" i="12"/>
  <c r="G43" i="11"/>
  <c r="G45" s="1"/>
  <c r="G58"/>
  <c r="G60" s="1"/>
  <c r="H23" i="5"/>
  <c r="E23"/>
  <c r="F23"/>
  <c r="E67" i="4"/>
  <c r="E63"/>
  <c r="E59"/>
  <c r="E50"/>
  <c r="E44"/>
  <c r="D37"/>
  <c r="D34"/>
  <c r="C29"/>
  <c r="E26" s="1"/>
  <c r="E18"/>
  <c r="C18" i="20"/>
  <c r="I20" i="1" l="1"/>
  <c r="E75" i="4"/>
  <c r="I23" i="1"/>
  <c r="I22"/>
  <c r="C19" i="20"/>
  <c r="E31" i="4"/>
  <c r="E53" s="1"/>
  <c r="E79" s="1"/>
  <c r="G48" i="11"/>
  <c r="C73" i="24"/>
  <c r="E73" s="1"/>
  <c r="I21" i="1"/>
  <c r="I25"/>
  <c r="I24"/>
  <c r="I26" l="1"/>
  <c r="G75" i="4"/>
  <c r="J23" i="42"/>
  <c r="J26"/>
</calcChain>
</file>

<file path=xl/sharedStrings.xml><?xml version="1.0" encoding="utf-8"?>
<sst xmlns="http://schemas.openxmlformats.org/spreadsheetml/2006/main" count="13354" uniqueCount="3821">
  <si>
    <t>ANNEXURE-1</t>
  </si>
  <si>
    <t>LIABILITIES</t>
  </si>
  <si>
    <t>Amount ( Rs. )</t>
  </si>
  <si>
    <t xml:space="preserve">SHARE CAPITAL </t>
  </si>
  <si>
    <t>Authorised Share Capital</t>
  </si>
  <si>
    <t xml:space="preserve">2500000 shares of Rs.10/- each  </t>
  </si>
  <si>
    <t>Issued Share Capital</t>
  </si>
  <si>
    <t>RESERVES &amp; SURPLUS</t>
  </si>
  <si>
    <t xml:space="preserve">a) Profit &amp; Loss Account </t>
  </si>
  <si>
    <t>b) Current Year Profit</t>
  </si>
  <si>
    <t>LONG-TERM BORROWINGS</t>
  </si>
  <si>
    <t>Secured Loans</t>
  </si>
  <si>
    <t xml:space="preserve">  -Term Loans From Banks </t>
  </si>
  <si>
    <t>UNSECURED LOAN</t>
  </si>
  <si>
    <t>FROM DIRECTOR</t>
  </si>
  <si>
    <t>SHORT TERM BORROWINGS</t>
  </si>
  <si>
    <t>OTHER CURRENT LIABILITIES</t>
  </si>
  <si>
    <t>Sundry Creditors (R/M)</t>
  </si>
  <si>
    <t>TDS</t>
  </si>
  <si>
    <t>Deffered Tax Liabilities</t>
  </si>
  <si>
    <t>Total Liabilities</t>
  </si>
  <si>
    <t>ASSETS</t>
  </si>
  <si>
    <t>Fixed Assets</t>
  </si>
  <si>
    <t>OTHER NON-CURRENT ASSETS</t>
  </si>
  <si>
    <t>INVENTORIES</t>
  </si>
  <si>
    <t>TRADE RECEIVABLES</t>
  </si>
  <si>
    <t>CASH &amp; BANK BALANCES</t>
  </si>
  <si>
    <t>Cash in Hand (Certified by the Management )</t>
  </si>
  <si>
    <t xml:space="preserve">Bank Balances  &amp; Others </t>
  </si>
  <si>
    <t>OTHER CURRENT ASSETS</t>
  </si>
  <si>
    <t>Total Assets</t>
  </si>
  <si>
    <t xml:space="preserve">21803814 shares of Rs.10/- each      </t>
  </si>
  <si>
    <t>PTC India Financial Services Ltd</t>
  </si>
  <si>
    <t>Related Parties</t>
  </si>
  <si>
    <t>Others</t>
  </si>
  <si>
    <t>Deffered Tax Assets</t>
  </si>
  <si>
    <t>Government  Dues</t>
  </si>
  <si>
    <t>(Amount in Rs)</t>
  </si>
  <si>
    <t>S. NO.</t>
  </si>
  <si>
    <t>SHARE/ DEB. HOLDER NAME</t>
  </si>
  <si>
    <t>ADDRESS</t>
  </si>
  <si>
    <t>TYPE OF SHARES/DEB.</t>
  </si>
  <si>
    <t>NO. OF SHARES</t>
  </si>
  <si>
    <t>AMOUNT PER SHARE</t>
  </si>
  <si>
    <t>EQUITY VALUE</t>
  </si>
  <si>
    <t>SIZE OF STAKE</t>
  </si>
  <si>
    <t>EQUITY</t>
  </si>
  <si>
    <t>TOTAL</t>
  </si>
  <si>
    <t>i</t>
  </si>
  <si>
    <t>ii</t>
  </si>
  <si>
    <t>iii</t>
  </si>
  <si>
    <t xml:space="preserve">Name </t>
  </si>
  <si>
    <t>Amount</t>
  </si>
  <si>
    <t>Remarks</t>
  </si>
  <si>
    <t>Amount in Rs.</t>
  </si>
  <si>
    <t>Sl No.</t>
  </si>
  <si>
    <t>Date of Receipt</t>
  </si>
  <si>
    <t>Name of Financial Creditors,address,email</t>
  </si>
  <si>
    <t>Total</t>
  </si>
  <si>
    <t xml:space="preserve">Amount as per Books </t>
  </si>
  <si>
    <t>PARTICULARS OF SECURITY HELD</t>
  </si>
  <si>
    <t>DATE OF CREATION OF CHARGE</t>
  </si>
  <si>
    <t>ESTIMATED VALUE OF SECURITY AS PER CREDITOR</t>
  </si>
  <si>
    <t>SANCTION LETTER DATED : 03-04-2014</t>
  </si>
  <si>
    <t>Stock - Rs. 5.54 Crs.                                              Debtors - Rs. 6.87 Crs.                                                 (As per balance sheet ending on 31-03-2016)</t>
  </si>
  <si>
    <t>Fixed Assets - Rs. 11.37 Crs.                                                                                                                                                                   (WDV as per balance sheet ending 31-3-2016)</t>
  </si>
  <si>
    <t>- PTC INDIA FINANCIAL SERVICES LIMITED</t>
  </si>
  <si>
    <t xml:space="preserve">   PARTICULARS OF SECURITY HELD</t>
  </si>
  <si>
    <t>S.No.</t>
  </si>
  <si>
    <t>All and singular leasehold land acquired for project comprising of khasra no 748/598 ,750/598 ,751/598 ,Land /building 1-01-41 Ha being 141/590 ,share out of land comprised in 749/598 /,753/716 ,757/728 ,in Mauja Darshai Rampur Tehsil of Shimla district in Himachal Pradesh</t>
  </si>
  <si>
    <t>All and singular leasehold land acquired for project comprising of Khasra nos 666/605 ,668/611 ,669/611,614,615,622 ,land /building measuring 0-01-44 Ha being 54/966 share out of land comprised in Khasrea No 599 and land/building measuring 1-04-26 Ha Being 852/5154 share out of land comprised in Khasra No 601 in Mauja Rajpura ,Rampur Tehsil of Shimla district in Himachal Pradesh</t>
  </si>
  <si>
    <t>All and singular free hold land of plot admeasuring 1200 sq ft ft situtated at Survey No 129/2A ,Plot No 516/B ,Athipattu Village ,Trituttani Taluk ,Tiruvalangadu Panchayat Union ,Tiruvallur District of Tamil Nadu</t>
  </si>
  <si>
    <t>Security Documents</t>
  </si>
  <si>
    <t>Description of Security Assets</t>
  </si>
  <si>
    <t xml:space="preserve">ASSETS AND LIABILLITIES AS ON THE INSOLVENCEY COMMENCEMENT DATE </t>
  </si>
  <si>
    <t>INFORMATION MEMORANDUM</t>
  </si>
  <si>
    <t>Name of the corporate debtor</t>
  </si>
  <si>
    <t>Name of the IRP</t>
  </si>
  <si>
    <t>Insolvencey Commencement date</t>
  </si>
  <si>
    <t>Provisional Financial Statement</t>
  </si>
  <si>
    <t>Rajpur Hydro Power Private Limited</t>
  </si>
  <si>
    <t>Gurvinder Singh Sarin</t>
  </si>
  <si>
    <t>YE 31/03/2017</t>
  </si>
  <si>
    <t>YE 31/03/2016 &amp; 31/03/2015</t>
  </si>
  <si>
    <t>Period Ending 18/07/2017</t>
  </si>
  <si>
    <t>(Pursuant to section 29 of IBC read with regulation 36 of IBBI (Insolvency Resolution Process for Corporate Persons) Regulations, 2016.)</t>
  </si>
  <si>
    <t>DETAIL OF MEMBERS OR PARTNERS OF CORPORATE DEBTOR</t>
  </si>
  <si>
    <t>LIST OF PROOF OF CLAIMS FILED BY OPERATIONAL CREDITOR OTHERTHAN WORKMEN &amp; EMPLOYEES IN FORM -B</t>
  </si>
  <si>
    <t>Sl No</t>
  </si>
  <si>
    <t>Case No &amp; Date of Filling</t>
  </si>
  <si>
    <t>Place of Filling</t>
  </si>
  <si>
    <t>Filed By</t>
  </si>
  <si>
    <t>About the Case and Present Status</t>
  </si>
  <si>
    <t>Resolution Process for Corporate Persons) Regulations, 2016.)</t>
  </si>
  <si>
    <t xml:space="preserve">(Pursuant to section 29 of IBC read with regulation 36 of Insolvency &amp; Bankruptcy Board of India (Insolvency </t>
  </si>
  <si>
    <t>(Pursuant to section 29 of IBC read with regulation 36 of IBBI (Insolvency Resolution Process for Corporate</t>
  </si>
  <si>
    <t xml:space="preserve"> Persons) Regulations, 2016.)</t>
  </si>
  <si>
    <t>Audited Annual Financial Statement available</t>
  </si>
  <si>
    <t>Audited Financial Statement of Last Years</t>
  </si>
  <si>
    <t>THE LIQUIDATION VALUE   ( REGULATION 36 (2) (j) )</t>
  </si>
  <si>
    <t>LIQUIDATION VALUE OF INVENTORIES AND FIXED ASSETS</t>
  </si>
  <si>
    <t>Distress/Liquidation Value</t>
  </si>
  <si>
    <t>ASSET CLASS</t>
  </si>
  <si>
    <t>Value (Rs.)</t>
  </si>
  <si>
    <t>Plant &amp; Machinery Valuation by</t>
  </si>
  <si>
    <t>LIQUIDATION VALUE OF COLLATERAL SECURITY</t>
  </si>
  <si>
    <t>Valuation by</t>
  </si>
  <si>
    <t>Average Value</t>
  </si>
  <si>
    <t>Smt. Krishna Gupta</t>
  </si>
  <si>
    <t>Director</t>
  </si>
  <si>
    <t>NA</t>
  </si>
  <si>
    <t>Colling Tower Plat with 9 Motor</t>
  </si>
  <si>
    <t>Facing Machine with 5 motors</t>
  </si>
  <si>
    <t>Threding Machine</t>
  </si>
  <si>
    <t>Transformer</t>
  </si>
  <si>
    <t>Press Hydrolic Machine without power pack</t>
  </si>
  <si>
    <t>Motor 60 (HP)</t>
  </si>
  <si>
    <t>Electric Panels</t>
  </si>
  <si>
    <t>Griender</t>
  </si>
  <si>
    <t>Ind. Pedestral Fan</t>
  </si>
  <si>
    <t>Cealing Fans</t>
  </si>
  <si>
    <t>Iron Scrap</t>
  </si>
  <si>
    <t>Iron Wire role</t>
  </si>
  <si>
    <t>Iron Sheet Cutter</t>
  </si>
  <si>
    <t>Wooden almirah</t>
  </si>
  <si>
    <t>Ploution control unit with 5 motors</t>
  </si>
  <si>
    <t>Cut out panel box</t>
  </si>
  <si>
    <t>Wire Cutter</t>
  </si>
  <si>
    <t>Mini Pump set</t>
  </si>
  <si>
    <t>Pump motor</t>
  </si>
  <si>
    <t>De-coiler machine</t>
  </si>
  <si>
    <t>Welding machine</t>
  </si>
  <si>
    <t>Pressing machine</t>
  </si>
  <si>
    <t>Strip cutter machiner</t>
  </si>
  <si>
    <t>Pipe/tube mill machine big with cutting and welding machine and control panels</t>
  </si>
  <si>
    <t>Pipe/tube mill machine small with cutting and welding machine and control panels</t>
  </si>
  <si>
    <t>Pipe cutter machine with motor (mill maker)</t>
  </si>
  <si>
    <t>Trolly</t>
  </si>
  <si>
    <t>lath Machine</t>
  </si>
  <si>
    <t>Drill Machine with motor</t>
  </si>
  <si>
    <t>EOT crain</t>
  </si>
  <si>
    <t>Slitter machine with electronic panel big + small</t>
  </si>
  <si>
    <t>Cutter Dyes</t>
  </si>
  <si>
    <t>Packing Dyes</t>
  </si>
  <si>
    <t>S.No</t>
  </si>
  <si>
    <t>Designation</t>
  </si>
  <si>
    <t>Contact No</t>
  </si>
  <si>
    <t>DETAIL OF DIRECTORS OF CORPORATE DEBTOR</t>
  </si>
  <si>
    <t>Allied Strips Limited (Bahadurgarh)</t>
  </si>
  <si>
    <t>Esstech Engineering Works</t>
  </si>
  <si>
    <t>S.K. Enterprises (Ghaziabad)</t>
  </si>
  <si>
    <t>Future Generali India Insurance Ltd</t>
  </si>
  <si>
    <t>Gopi Ram Krishan Gopal (Hisar)</t>
  </si>
  <si>
    <t>MNF Metal &amp; Forming Pvt. Ltd.,Alwar</t>
  </si>
  <si>
    <t>Telephone</t>
  </si>
  <si>
    <t>LMS Cetification Pvt. Ltd.</t>
  </si>
  <si>
    <t>Rathi Khad Bhandar, Sampla</t>
  </si>
  <si>
    <t>Jotindra Steel &amp; Tubes Limited</t>
  </si>
  <si>
    <t>National Steel and Agro Industries Ltd.</t>
  </si>
  <si>
    <t>Amount (In Rs.)</t>
  </si>
  <si>
    <t>(pursuant to section 29 of IBC, 2016 read with regulation 36 of the IBBI (Insolvency resolution process for Corporate person) Regulations, 2016)</t>
  </si>
  <si>
    <t>Plant &amp; Machinery</t>
  </si>
  <si>
    <t>Current Assets</t>
  </si>
  <si>
    <t>Security Interest</t>
  </si>
  <si>
    <t xml:space="preserve">(Pursuant to section 29 of IBC read with regulation 36 of IBBI </t>
  </si>
  <si>
    <t>(Insolvency Resolution Process for Corporate Persons) Regulations, 2016.)</t>
  </si>
  <si>
    <t xml:space="preserve"> Industrial Property measuring 24k-05M located at 7th KM Stone, Barwala Road, Talwandi Raha, Hissar-125001 (Haryana)</t>
  </si>
  <si>
    <t xml:space="preserve">Ms.Rajni Gupta 
13, 1st Floor, Arya Samaj Mandir, 
Market Hisar
Haryana
</t>
  </si>
  <si>
    <t xml:space="preserve">Nitin S Kumar
117-120, 1st Floor,
 Citi Plaza, Mall Road, 
Hissar (Haryana) 
Mobile: 9812156590.
</t>
  </si>
  <si>
    <t xml:space="preserve">Mr.Suresh Chandra Vohra
B-577, Sushant Lok 1,
Gurgaon
Haryana - 122002
</t>
  </si>
  <si>
    <t>Residential Property measuring 552.78 Sq Yard situated at H.No-28, Road No-61, Punjabi Bagh, New Delhi</t>
  </si>
  <si>
    <t xml:space="preserve">Sh.Arvind Khanna
104, Block A, Lok Vihar,
 Pitampura 
Delhi - 110034
</t>
  </si>
  <si>
    <t>Immovable Properties</t>
  </si>
  <si>
    <t xml:space="preserve">Mr.Kashori Lal 
K Lal &amp; Associates,
B-1/159, New Moti Nagar, 
New Delhi.
</t>
  </si>
  <si>
    <t>TECH MECH INTERNATIONAL PVT. LTD
92 CIVIL LINE
MEERUT (U.P)
C/o Mr.Pawan Kumar Singhal,
H.No-1045, sector-11,
Panchkula (Haryana)
Mobile: 9876111045</t>
  </si>
  <si>
    <t>LIST OF CLAIMS FILED BY FINANCIAL CREDITOR IN FORM -C</t>
  </si>
  <si>
    <t>Note :</t>
  </si>
  <si>
    <t>LIST OF PROOF OF CLAIMS FILED BY OPERATIONAL CREDITOR -WORKMEN &amp; EMPLOYEES IN FORM -D</t>
  </si>
  <si>
    <t xml:space="preserve">Mr.Gurmeet Singh 
H.No-154, Sector 33 A
Chandigarh
M- 98142-12698
</t>
  </si>
  <si>
    <t>Particulars of Assets</t>
  </si>
  <si>
    <t>Liqudation Value</t>
  </si>
  <si>
    <t>As Per Valuation Report</t>
  </si>
  <si>
    <t>As Per Balance in books of CD</t>
  </si>
  <si>
    <t>Appointment as IRP</t>
  </si>
  <si>
    <t>Appointment as RP</t>
  </si>
  <si>
    <t>REGULATION 36 (2) (d)</t>
  </si>
  <si>
    <t>Grand Total ( 1 to 2 )</t>
  </si>
  <si>
    <t>Date</t>
  </si>
  <si>
    <t>Security</t>
  </si>
  <si>
    <t>REGULATION 36 (2) (g)</t>
  </si>
  <si>
    <t>REGULATION 36 (2) (h)</t>
  </si>
  <si>
    <t>Location</t>
  </si>
  <si>
    <t>Total Liquidation Value of Corporate Debtor (A)</t>
  </si>
  <si>
    <t>Total Liquidation Value of Collateral Security (B)</t>
  </si>
  <si>
    <t>REGULATION 36 (2) (k)</t>
  </si>
  <si>
    <t xml:space="preserve">LIQUIDATION VALUE DUE TO OPERATIONAL CREDITOR </t>
  </si>
  <si>
    <t>Detail of Securities mortgaged with bank</t>
  </si>
  <si>
    <t>The Credit facilities shall be secured as under:</t>
  </si>
  <si>
    <t>i) Mortgage Immovable Properties</t>
  </si>
  <si>
    <t>Security Description</t>
  </si>
  <si>
    <t>Area in Sq M or Sq. Ft</t>
  </si>
  <si>
    <t>Ownership</t>
  </si>
  <si>
    <t>Value</t>
  </si>
  <si>
    <t>Basis for valuation</t>
  </si>
  <si>
    <t>Whether existing/fresh</t>
  </si>
  <si>
    <t>Last sanction</t>
  </si>
  <si>
    <t>Present book value</t>
  </si>
  <si>
    <t>Realisable value as per Val. Report/BM Asseseement as per L&amp;A Cir.12/07</t>
  </si>
  <si>
    <t>1. EM of land and building of factory at Rohad, Dist. Jhajjar(Haryana)</t>
  </si>
  <si>
    <t>66 Kanals 9 Marla(out of the total land measuring 158 Kanals 16 marla)</t>
  </si>
  <si>
    <t>Company</t>
  </si>
  <si>
    <t>14.50/13.00</t>
  </si>
  <si>
    <t>Valuation by approved valuer Sh. N K Gupta</t>
  </si>
  <si>
    <t>13.09.10</t>
  </si>
  <si>
    <t>Existing</t>
  </si>
  <si>
    <t>2. EM of land and building at 7th K.M. Barwala Road, Talwandi Rana, Hisar</t>
  </si>
  <si>
    <t>3.1818 Acre</t>
  </si>
  <si>
    <t>5.70/5.20</t>
  </si>
  <si>
    <t>3. ** Extention of EM on House No. 70,71,72 Priti Nagar Hisarof land and building at 7th K.M. Barwala Road, Talwandi Rana, Hisar</t>
  </si>
  <si>
    <t>895.40 Sq. Yards</t>
  </si>
  <si>
    <t>1.56/1.35</t>
  </si>
  <si>
    <t>Negative lien on Land at Rohad adjoining to Factory Land and Building at Rohad</t>
  </si>
  <si>
    <t>92 Kanal 07</t>
  </si>
  <si>
    <t>13.85/12.50</t>
  </si>
  <si>
    <t>Valuation by approved valuer Sh. Nitin S Kumar</t>
  </si>
  <si>
    <t>TOTAL OF COLLATERAL SECURITIES</t>
  </si>
  <si>
    <t>35.61/32.05</t>
  </si>
  <si>
    <t xml:space="preserve"> </t>
  </si>
  <si>
    <t>ii) Extension of charge on following block assets to secure WC:</t>
  </si>
  <si>
    <t>Nature of limits</t>
  </si>
  <si>
    <t>value of Net block assets as on 31/03/2011 (as per Audited B/Sheetexcluding land &amp;Building)</t>
  </si>
  <si>
    <t>value of  block assets excluding specific charge if any</t>
  </si>
  <si>
    <t>Extent of first charge holders</t>
  </si>
  <si>
    <t>Balance/residual value of charge available to bank</t>
  </si>
  <si>
    <t>Working Capital</t>
  </si>
  <si>
    <t>Hyp. Of Net block Assets xcluding Land &amp; Building &amp; financed vehicles</t>
  </si>
  <si>
    <t>11.73 
(Financed vehicles)</t>
  </si>
  <si>
    <t>3.44 ( Outstanding in TL)</t>
  </si>
  <si>
    <t>iii)Personal/Corporate Guarantee</t>
  </si>
  <si>
    <t>(Rs. In Crores)</t>
  </si>
  <si>
    <t>Name of the Gtuarantor</t>
  </si>
  <si>
    <t>Relationship with borrower</t>
  </si>
  <si>
    <t>Net Worth</t>
  </si>
  <si>
    <t>Immovable
 Property</t>
  </si>
  <si>
    <t>Date of confidential 
report</t>
  </si>
  <si>
    <t>Prev. at 31/03/10</t>
  </si>
  <si>
    <t>Present at 31/03/11</t>
  </si>
  <si>
    <t>ANNEXURE-11</t>
  </si>
  <si>
    <t>ANNEXURE-14</t>
  </si>
  <si>
    <t>Annexure - 15</t>
  </si>
  <si>
    <t>Annexure - 1</t>
  </si>
  <si>
    <t>ANNEXURE-8</t>
  </si>
  <si>
    <t>Claim Amount (Including Interest)</t>
  </si>
  <si>
    <t>Claim Amount Admitted</t>
  </si>
  <si>
    <t>LIQUIDATION VALUE OF PERSONAL PROPERTY ATTACHED UNDER DRT</t>
  </si>
  <si>
    <t>Total Liquidation Value of Personal Property attached under DRT (C)</t>
  </si>
  <si>
    <t>Grand Total (A+B)</t>
  </si>
  <si>
    <t>(In Rupees)</t>
  </si>
  <si>
    <t>M/s BEST FOODS LIMITED</t>
  </si>
  <si>
    <t xml:space="preserve">NO </t>
  </si>
  <si>
    <t>YES 31/03/2016 &amp; 31/03/2015</t>
  </si>
  <si>
    <t>MOHINDER PAL JINDAL</t>
  </si>
  <si>
    <t>DINESH GUPTA</t>
  </si>
  <si>
    <t>DIN/DPIN/PAN</t>
  </si>
  <si>
    <t>Full Name</t>
  </si>
  <si>
    <t>Present Residential Address</t>
  </si>
  <si>
    <t>Date of Appointment</t>
  </si>
  <si>
    <t>H.NO. 9 W.NO. 2, NEAR KRISHNA MANDIR INDRI 132041 HR IN</t>
  </si>
  <si>
    <t>Wholetime Director</t>
  </si>
  <si>
    <t>25/03/2003</t>
  </si>
  <si>
    <t>HOUSE NO. 808 SECTOR - 9 KARNAL 132001 HR IN</t>
  </si>
  <si>
    <t>Managing Director</t>
  </si>
  <si>
    <t>POTAN</t>
  </si>
  <si>
    <t>H. N. 31, SECTOR-12 PART-2 KARNAL 132001 HR IN</t>
  </si>
  <si>
    <t>ROHIT KUMAR</t>
  </si>
  <si>
    <t>H. NO. 268, W. NO. 15, GURUDWARA GALI, LADWA KURUKSHETRA 136132 HR IN</t>
  </si>
  <si>
    <t>Additional Director</t>
  </si>
  <si>
    <t>20/05/2017</t>
  </si>
  <si>
    <t>RAJESH KUMAR</t>
  </si>
  <si>
    <t>H. No. 236, Dhodpur, Dhodpur (75), Naraina, Panipat 132101 HR IN</t>
  </si>
  <si>
    <t>AVTPS4967L</t>
  </si>
  <si>
    <t>SUNIL KUMAR SHARMA</t>
  </si>
  <si>
    <t>101, VINOBA PURI LAJPAT NAGAR - II NEW DELHI 110024 DL IN</t>
  </si>
  <si>
    <t>CFO(KMP)</t>
  </si>
  <si>
    <t>20/06/2014</t>
  </si>
  <si>
    <t>Mohinder Pal Jindal</t>
  </si>
  <si>
    <t>H.No. 9 W.No. 2, Near Krishna Mandir Indri</t>
  </si>
  <si>
    <t>Dinesh Gupta</t>
  </si>
  <si>
    <t>House No. 808 Sector - 9 Karnal</t>
  </si>
  <si>
    <t>Unified Developers Private Limted</t>
  </si>
  <si>
    <t>502, D Mall Netaji Subhash Place, Pitampura New Delhi</t>
  </si>
  <si>
    <t>Best Sugar Private Limited</t>
  </si>
  <si>
    <t>Unit No. 502, Building D Mall, Plot No. A-1, Netaji Subhash Palace, Pritampura New Delhi</t>
  </si>
  <si>
    <t>Best Deal General Tradinng Private Limited</t>
  </si>
  <si>
    <t>Heritage Infracon Private Limited</t>
  </si>
  <si>
    <t xml:space="preserve">Unit No. 502, Building D Mall, Plot No. A-1, Netaji Subhash Palace, Pritampura New Delhi </t>
  </si>
  <si>
    <t>Excel Infracon Private Limited</t>
  </si>
  <si>
    <t>502, D Mall Netaji Subhash Place, Pitampura New Delhi New Delhi</t>
  </si>
  <si>
    <t>Unified Infrastructure Private Limited</t>
  </si>
  <si>
    <t>BEST FOODS LIMITED</t>
  </si>
  <si>
    <t>Best Foods Limited</t>
  </si>
  <si>
    <t>As per annexture attached</t>
  </si>
  <si>
    <t xml:space="preserve">DETAIL OF FIXED ASSETS AT BEST FOODS LIMITED, 2867/2, CHANDIGARH HOUSING BOARD FLATS, SECTOR - 49  </t>
  </si>
  <si>
    <t>Delhi High Court, New Delhi</t>
  </si>
  <si>
    <t>CS (COMM) 1410/2016</t>
  </si>
  <si>
    <t>DLA Piper Singapore PTE Ltd V/s Best Foods Limited</t>
  </si>
  <si>
    <t>SA/774/2017</t>
  </si>
  <si>
    <t>CARAP/82/2017</t>
  </si>
  <si>
    <t>DRT - II Chandigarh</t>
  </si>
  <si>
    <t>Bombay High Court</t>
  </si>
  <si>
    <t>Group M Media India Private Limited V/s Best Foods Limited</t>
  </si>
  <si>
    <t>Sr. No.</t>
  </si>
  <si>
    <t>Name of the Plaintiff</t>
  </si>
  <si>
    <t>Name of the Defendant</t>
  </si>
  <si>
    <t>Learned Court Where Matter is Pending</t>
  </si>
  <si>
    <t>Ragubir Singh Satpal Singh</t>
  </si>
  <si>
    <t>Indri Court Complex</t>
  </si>
  <si>
    <t>Village Norta, Indri, Karnal</t>
  </si>
  <si>
    <t>Shop No. 131, New Anaj Mandi</t>
  </si>
  <si>
    <t>CS/23/2018</t>
  </si>
  <si>
    <t>Jind, Haryana</t>
  </si>
  <si>
    <t>Karan Commission Agent</t>
  </si>
  <si>
    <t>Shop No. 159, New Anaj Mandi</t>
  </si>
  <si>
    <t>CS/25/2018</t>
  </si>
  <si>
    <t>Zamidar Enterprises</t>
  </si>
  <si>
    <t>Shop No. 221, New Anaj Mandi</t>
  </si>
  <si>
    <t>CS/33/2018</t>
  </si>
  <si>
    <t>Shri Krishna Trading Co.</t>
  </si>
  <si>
    <t>Shop No. 154, New Anaj Mandi</t>
  </si>
  <si>
    <t>CS/22/2018</t>
  </si>
  <si>
    <t>Dhanda Trading Co.</t>
  </si>
  <si>
    <t>Shop No. 168, New Anaj Mandi</t>
  </si>
  <si>
    <t>CS/34/2018</t>
  </si>
  <si>
    <t>Dhanda Commision Agent</t>
  </si>
  <si>
    <t>Shop No. 168 - 169, New Anaj Mandi</t>
  </si>
  <si>
    <t>CS/24/2018</t>
  </si>
  <si>
    <t>Jamidar Trading Co.</t>
  </si>
  <si>
    <t>Shop No. 160, New Anaj Mandi</t>
  </si>
  <si>
    <t>CS/39/2018</t>
  </si>
  <si>
    <t>Mahadev Trading Co.</t>
  </si>
  <si>
    <t>CS/36/2018</t>
  </si>
  <si>
    <t>Rahul Trading Co.</t>
  </si>
  <si>
    <t>Shop No. 161, New Anaj Mandi</t>
  </si>
  <si>
    <t>CS/38/2018</t>
  </si>
  <si>
    <t>Hajura Singh Bhim Singh</t>
  </si>
  <si>
    <t>CS/35/2018</t>
  </si>
  <si>
    <t>Raghbir Singh Balwan Singh</t>
  </si>
  <si>
    <t>Shop No. 194 B, New Anaj Mandi</t>
  </si>
  <si>
    <t>CS/40/2018</t>
  </si>
  <si>
    <t>Suresh Kumar and Sons</t>
  </si>
  <si>
    <t>CS/37/2018</t>
  </si>
  <si>
    <t>Bansal Trading Company</t>
  </si>
  <si>
    <t>Shop No. 10, New Anaj Mandi</t>
  </si>
  <si>
    <t>CS/53/2018</t>
  </si>
  <si>
    <t>Ramavtar Trading Co.</t>
  </si>
  <si>
    <t>Shop No.8, New Anaj Mandi</t>
  </si>
  <si>
    <t>CS/54/2018</t>
  </si>
  <si>
    <t>Ami Lal Rameshwar Dass</t>
  </si>
  <si>
    <t>CS/52/2018</t>
  </si>
  <si>
    <t>Maan Enterprises</t>
  </si>
  <si>
    <t>Shop No. 172, New Grain Market</t>
  </si>
  <si>
    <t>CS/66/2018</t>
  </si>
  <si>
    <t>Maan Trading Company</t>
  </si>
  <si>
    <t>Shop No. 173, New Grain Market</t>
  </si>
  <si>
    <t>CS/65/2018</t>
  </si>
  <si>
    <t xml:space="preserve">   </t>
  </si>
  <si>
    <t>Atul Kumar Kansal</t>
  </si>
  <si>
    <t>NOTE- As per list attached</t>
  </si>
  <si>
    <t>CENTRAL BANK OF INDIA</t>
  </si>
  <si>
    <t>BANK OF BARODA</t>
  </si>
  <si>
    <t xml:space="preserve">CANARA BANK </t>
  </si>
  <si>
    <t>Asset Owned By</t>
  </si>
  <si>
    <t>Pledge of 30% of total shares of Best Foods Ltd having face company value of Rs10.00 each</t>
  </si>
  <si>
    <t>INDRI</t>
  </si>
  <si>
    <t>COMPANY</t>
  </si>
  <si>
    <t>NORTA</t>
  </si>
  <si>
    <t>SONEPAT</t>
  </si>
  <si>
    <t>KURALI</t>
  </si>
  <si>
    <t>GADHI GURJAN</t>
  </si>
  <si>
    <t>HAMIDPUR</t>
  </si>
  <si>
    <t>DARAR</t>
  </si>
  <si>
    <t>GHISARPURI</t>
  </si>
  <si>
    <t>DELHI</t>
  </si>
  <si>
    <t>Director/Company</t>
  </si>
  <si>
    <t>DIRECTOR(Deinesh Gupta)</t>
  </si>
  <si>
    <t>Director(Dinesh Gupta)</t>
  </si>
  <si>
    <t>Poonam W/o Dinesh Gupta</t>
  </si>
  <si>
    <t>KARNAL</t>
  </si>
  <si>
    <t>Smt Shakuntala Devi</t>
  </si>
  <si>
    <t>SMALAKHA</t>
  </si>
  <si>
    <t>Heritage Infracon Pvt. Ltd</t>
  </si>
  <si>
    <t>Director/Heritage Infracon Pvt. Ltd</t>
  </si>
  <si>
    <t>smt. Poonam Gupta</t>
  </si>
  <si>
    <t>Director/Shakuntala Devi</t>
  </si>
  <si>
    <t>Director(Mohinder Pal Jindal)</t>
  </si>
  <si>
    <t>Land 30K 16M at village Ghisarpuri, Indri, Karnal</t>
  </si>
  <si>
    <t>Lease rights vide lease deed no. 683,684,685 dated 22.08.2008 of land at vill. Norta Indri</t>
  </si>
  <si>
    <t>Agriculture land measuring 44K-4M at Karnal</t>
  </si>
  <si>
    <t>Equitable mortagage of industrial sheds/plot situated at village Norta tehsil Indri distt Karnal in the name of Sh. Mohinder Pal Jindal S/o Sh. Krishan Chand</t>
  </si>
  <si>
    <r>
      <t xml:space="preserve">List of Operational Creditors as on </t>
    </r>
    <r>
      <rPr>
        <b/>
        <sz val="12"/>
        <color rgb="FFFF0000"/>
        <rFont val="Calibri"/>
        <family val="2"/>
        <scheme val="minor"/>
      </rPr>
      <t>31-03-2017</t>
    </r>
  </si>
  <si>
    <t>DETAILS OF PROPERTIES (LAND)</t>
  </si>
  <si>
    <t>SUMMARY LIST OF SUMMONS(S) OF BEST FOODS GROUP AS ON</t>
  </si>
  <si>
    <t>SL.</t>
  </si>
  <si>
    <t>NAME OF THE PARTY WITH ADDRESS/LOCATION</t>
  </si>
  <si>
    <t>DATE OF APPEARANCE</t>
  </si>
  <si>
    <t>NEXT DATE</t>
  </si>
  <si>
    <t>CASE NO.</t>
  </si>
  <si>
    <t>CHEQUE NUMBER</t>
  </si>
  <si>
    <t>PROCEEDING</t>
  </si>
  <si>
    <t>DEMANDED AMOUNT</t>
  </si>
  <si>
    <t>REMARKS</t>
  </si>
  <si>
    <t>SUMMONS TO WHOM</t>
  </si>
  <si>
    <t>ADVOCATE DETAILS</t>
  </si>
  <si>
    <t>STATION</t>
  </si>
  <si>
    <t>M/s Sahi Ram Parveen Kumar, Commision Agent,  Anaj Mandi, Narwana through Parveen Kumar</t>
  </si>
  <si>
    <t>19.04.2017</t>
  </si>
  <si>
    <t>19.03.2018</t>
  </si>
  <si>
    <t>20/17           80/17</t>
  </si>
  <si>
    <t>024865                          028803</t>
  </si>
  <si>
    <t>Order is to be check</t>
  </si>
  <si>
    <t>4,99,621.12                        4,97,767.49</t>
  </si>
  <si>
    <t>Revision Filed</t>
  </si>
  <si>
    <t>1. Best Foods Limited                       2. Ajit Singh
3. Dinesh Gupta
4. Mahender Pal Jindal</t>
  </si>
  <si>
    <t>Nathi Ram Mittal, Narwana, Jind.
9416138906</t>
  </si>
  <si>
    <t>Narwana</t>
  </si>
  <si>
    <t>M/s Bansi Lal Padam Parkash, Commission Agent, Narwana Through Munish Kumar</t>
  </si>
  <si>
    <t>15.07.2017</t>
  </si>
  <si>
    <t>16.04.2018</t>
  </si>
  <si>
    <t>128/17</t>
  </si>
  <si>
    <t>Cheque No. 024956</t>
  </si>
  <si>
    <t>B/W Issued</t>
  </si>
  <si>
    <t xml:space="preserve">3,08,712.79 </t>
  </si>
  <si>
    <t>1. Best Foods Limited                         2. Ajit Singh
3. Dinesh Gupta
4. Mohinder Pal Jindal</t>
  </si>
  <si>
    <t>Sandeep Khatter,Civil Court, Narwana</t>
  </si>
  <si>
    <t>M/s Anil Kumar Balbir Singh, Commision Agent, New Anaj Mandi, Narwana through Anil Kumar</t>
  </si>
  <si>
    <t>05.05.2017</t>
  </si>
  <si>
    <t>11.12.2017</t>
  </si>
  <si>
    <t>46/17</t>
  </si>
  <si>
    <t>Cheque No. 024950</t>
  </si>
  <si>
    <t>Withdraw</t>
  </si>
  <si>
    <t xml:space="preserve">1,53,286.74/- </t>
  </si>
  <si>
    <t>1. Ajit Singh
2. Mohinder Pal Jindal
3. Rajiv Harjai</t>
  </si>
  <si>
    <t>Azad Singh Nain, Narwana
9671350008</t>
  </si>
  <si>
    <t>M/s Bhiku Ram Subash Chand, Commission Agent, Narwana Through Subhash Chand</t>
  </si>
  <si>
    <t>18.07.2017</t>
  </si>
  <si>
    <t>28.03.2018</t>
  </si>
  <si>
    <t>166/17</t>
  </si>
  <si>
    <t>024958              027570</t>
  </si>
  <si>
    <t>1,52,762.95    9,549.00</t>
  </si>
  <si>
    <t>Bail bond furnished</t>
  </si>
  <si>
    <t>Vivek Sharma,Civil Court, Ch.No.6, Narwana.</t>
  </si>
  <si>
    <t xml:space="preserve">M/s Shiv Bhole Trading Co., Anaj Mandi, Narwana Through Sh. Budh Ram , Patram Nagar Narwana </t>
  </si>
  <si>
    <t>03.06.2017</t>
  </si>
  <si>
    <t>20.04.2018</t>
  </si>
  <si>
    <t>76/17</t>
  </si>
  <si>
    <t>Cheque No. 025017</t>
  </si>
  <si>
    <t>4,12,617.67/-</t>
  </si>
  <si>
    <t>1. Best Foods Limited                2. Ajit Singh
3. Dinesh Gupta
4. Mohinder Pal Jindal</t>
  </si>
  <si>
    <t>M/s Dharam Singh Ishwer Singh, Commission Agent, New Anaj Mandi, Narwana Through Mahabir Singh</t>
  </si>
  <si>
    <t>21.07.2017</t>
  </si>
  <si>
    <t>27.04.2018</t>
  </si>
  <si>
    <t>169/17</t>
  </si>
  <si>
    <t>028801           028802</t>
  </si>
  <si>
    <t>14,46,599.88         1,65,215</t>
  </si>
  <si>
    <t>M/s Moti Lal &amp; Sons, Commission Agent, Anaj Mandi, Safidon Through Vijay Kumar Goel</t>
  </si>
  <si>
    <t>06.06.2017</t>
  </si>
  <si>
    <t>03.04.2018</t>
  </si>
  <si>
    <t>85/17</t>
  </si>
  <si>
    <t>012766                      012747</t>
  </si>
  <si>
    <t xml:space="preserve"> 1,62,585.78                       2,00,000</t>
  </si>
  <si>
    <t>1.Ajit Singh             2.Mohinder Pal Jindal  3.Dinesh Gupta</t>
  </si>
  <si>
    <t>Mahavir Pd. Jain, Jind
01686 262112, 9416062112</t>
  </si>
  <si>
    <t>Safidon</t>
  </si>
  <si>
    <t>M/s Mange Ram Anil Kumar, Commission Agent, Narwana Through Pardeep Kumar</t>
  </si>
  <si>
    <t>27.07.2017</t>
  </si>
  <si>
    <t>26.03.2018</t>
  </si>
  <si>
    <t>133/17</t>
  </si>
  <si>
    <t>Cheque No. 024993</t>
  </si>
  <si>
    <t>6,77,602.93</t>
  </si>
  <si>
    <t>1.Best Foods Ltd.          2.Ajit Singh
3. Dinesh Gupta
4. Mohinder Pal Jindal</t>
  </si>
  <si>
    <t>Nathi Ram Mittal, Chamber No.31, Mini Secretariate, Narwana</t>
  </si>
  <si>
    <t>M/s Sumit Trading Co., Commission Agent,Narwana Through Jaswant Singh</t>
  </si>
  <si>
    <t>08.06.2017</t>
  </si>
  <si>
    <t>170/17</t>
  </si>
  <si>
    <t>025022                       028801</t>
  </si>
  <si>
    <t>10,10,128.78</t>
  </si>
  <si>
    <t>Bail Bond Furnished</t>
  </si>
  <si>
    <t>1. Ajit Singh
2. Best Foods Limited
3. Dinesh Gupta
4. Mohinder Pal Jindal</t>
  </si>
  <si>
    <t>M/s Balwan Singh Chandi Ram, Commission Agent, Narwana Through Chandi Ram</t>
  </si>
  <si>
    <t>31.07.2017</t>
  </si>
  <si>
    <t>09.03.2018</t>
  </si>
  <si>
    <t>148/17</t>
  </si>
  <si>
    <t>Cheque No. 024955</t>
  </si>
  <si>
    <t>1. Best Foods Ltd.         2. Ajit Singh
3. Dinesh Gupta
4. Mohinder Pal Jindal</t>
  </si>
  <si>
    <t>M/s Naranjan Lal Vinod Kumar, Commission Agent, Narwan Through Purshottam Dass</t>
  </si>
  <si>
    <t>09.06.2017</t>
  </si>
  <si>
    <t>16.02.2018</t>
  </si>
  <si>
    <t>106/17</t>
  </si>
  <si>
    <t>Cheque No. 024862</t>
  </si>
  <si>
    <t>Appearance</t>
  </si>
  <si>
    <t xml:space="preserve"> 7,71,032.25 /-</t>
  </si>
  <si>
    <t>Nathi Ram Mittal, Narwana, Jind.
9416138906.</t>
  </si>
  <si>
    <t>M/s Hazura Singh Bhim Singh,Shop No-131, New Grain Market, Jind Through Raj Kumar</t>
  </si>
  <si>
    <t>03.08.2017</t>
  </si>
  <si>
    <t>09.02.2018</t>
  </si>
  <si>
    <t>276/17</t>
  </si>
  <si>
    <t>012543       025401          028560</t>
  </si>
  <si>
    <t>4,29,877            1,93,445          1,93,445</t>
  </si>
  <si>
    <t>Summons received on 07.07.2017  FILE</t>
  </si>
  <si>
    <t>1. Best Foods Ltd.           2. Dinesh Gupta
3. Mahender Pal Jindal
4. Ajit Singh             6.Dinesh Gandhi</t>
  </si>
  <si>
    <t xml:space="preserve">Suresh Kumar Garg, Chamber No. 34, Jind, 01681-245165, </t>
  </si>
  <si>
    <t>Jind</t>
  </si>
  <si>
    <t>M/s Kundan Lal Jogdhyan, Commission Agent, Narwana Through Amit Kumar</t>
  </si>
  <si>
    <t>107/17</t>
  </si>
  <si>
    <t>Cheque No. 024867</t>
  </si>
  <si>
    <t>5,01,030.30</t>
  </si>
  <si>
    <t>1. Best Foods Ltd.          2. Ajit Singh
3. Dinesh Gupta
4. Mohinder Pal Jindal</t>
  </si>
  <si>
    <t>M/s Sandeep Trading Company, Commission Agent, Shop No. 139, New Anaj Mandi, Jind Through Sh. Surender</t>
  </si>
  <si>
    <t>25.09.2017</t>
  </si>
  <si>
    <t>27.03.2018</t>
  </si>
  <si>
    <t>340/17</t>
  </si>
  <si>
    <t>Cheque No. 028621</t>
  </si>
  <si>
    <t>Bailable warrant issued for accused no. 2</t>
  </si>
  <si>
    <t xml:space="preserve">1.Best Foods Ltd  2.Dinesh Gupta 3.Mahender Pal Jindal 4.Rajiv Harjai            5.Ajit Singh </t>
  </si>
  <si>
    <t>M/s Subhash Chand Om Prakash, Commission Agent, Narwana through Sh. Om Prakash</t>
  </si>
  <si>
    <t>108/17</t>
  </si>
  <si>
    <t>Cheque No. 024866</t>
  </si>
  <si>
    <t>5,05,204.26</t>
  </si>
  <si>
    <t>M/s Surender Singh Sandeep Kumar, Commission Agent, Shop No. 21, New Anaj Mandi, Jind Through Satyawan</t>
  </si>
  <si>
    <t>12.02.2018</t>
  </si>
  <si>
    <t>338/17</t>
  </si>
  <si>
    <t>Cheque No. 012600</t>
  </si>
  <si>
    <t>5,83,143</t>
  </si>
  <si>
    <t>M/s Om Parkash Jai Parkash Jain,Commission Agent, Narwana Through Bir Bhan</t>
  </si>
  <si>
    <t>109/17</t>
  </si>
  <si>
    <t>Cheque No. 024996</t>
  </si>
  <si>
    <t>15,11,192.33</t>
  </si>
  <si>
    <t>M/s Dharam Pal Parveen Kumar, Commission Agent,Narwana through Dharam Pal</t>
  </si>
  <si>
    <t>110/17</t>
  </si>
  <si>
    <t>Cheque No. 027594</t>
  </si>
  <si>
    <t>2,71,416</t>
  </si>
  <si>
    <t>1. Best Foods Ltd.               2. Ajit Singh
3. Dinesh Gupta
4. Mohinder Pal Jindal</t>
  </si>
  <si>
    <t>M/s Narata Ram Pawan Kumar, Commission Agent, Narwana Through Pawan Kumar</t>
  </si>
  <si>
    <t>111/17</t>
  </si>
  <si>
    <t>Cheque No. 024864</t>
  </si>
  <si>
    <t>20,79,298.53</t>
  </si>
  <si>
    <t>1. Best Foods Ltd.                  2. Ajit Singh
3. Dinesh Gupta
4. Mohinder Pal Jindal</t>
  </si>
  <si>
    <t>Shweta, Civil Court, Chamber No. 6, Narwana</t>
  </si>
  <si>
    <t>M/s Jagdish Rai Satish Kumar, Commission Agent, Anaj Mandi, Narwana through Ram Kumar</t>
  </si>
  <si>
    <t>112/17</t>
  </si>
  <si>
    <t>Cheque No. 024982</t>
  </si>
  <si>
    <t>1,95,669.12</t>
  </si>
  <si>
    <t>M/s Anand Kumar Punit Kumar, Commission agent,  Narwana Through Anil</t>
  </si>
  <si>
    <t>08.03.2018</t>
  </si>
  <si>
    <t>105/17</t>
  </si>
  <si>
    <t>Cheque No. 024949</t>
  </si>
  <si>
    <t>3,28,610.23</t>
  </si>
  <si>
    <t>Compounding application pending</t>
  </si>
  <si>
    <t>M/s Satya Traders, Commission Agent, Narwana Through Vipan Kumar</t>
  </si>
  <si>
    <t>14.06.2017</t>
  </si>
  <si>
    <t>94/17</t>
  </si>
  <si>
    <t>Cheque No. 025016</t>
  </si>
  <si>
    <t>5,38,187.69</t>
  </si>
  <si>
    <t>1. Best Foods Ltd.                   2. Ajit Singh
3. Dinesh Gupta
4. Mohinder Pal Jindal</t>
  </si>
  <si>
    <t>M/s Dharam Singh Ishwar Singh, Commission Agent, Narwana through Mahabir Singh</t>
  </si>
  <si>
    <t>96/17</t>
  </si>
  <si>
    <t>Cheque No. 024856</t>
  </si>
  <si>
    <t xml:space="preserve">5,56,117.66 </t>
  </si>
  <si>
    <t>M/s Ram Bhaj Suresh Kumar, Commission Agent, Narwana Through Raj Kumar</t>
  </si>
  <si>
    <t>26.04.2018</t>
  </si>
  <si>
    <t>95/17</t>
  </si>
  <si>
    <t>Cheque No. 025005</t>
  </si>
  <si>
    <t>2,19,611.51</t>
  </si>
  <si>
    <t>M/s Narsi Mal Raj Kumar, Commission Agent, Narwana Through Raj Kumar</t>
  </si>
  <si>
    <t>05.07.2017</t>
  </si>
  <si>
    <t>03.05.2018</t>
  </si>
  <si>
    <t>89/17</t>
  </si>
  <si>
    <t>Cheque 024863</t>
  </si>
  <si>
    <t xml:space="preserve">9,93,688.79 </t>
  </si>
  <si>
    <t>M/s Purshotam Das Sube Singh, Commission Agent, Narwana Through Sube Singh</t>
  </si>
  <si>
    <t>10.07.2017</t>
  </si>
  <si>
    <t>05.04.2018</t>
  </si>
  <si>
    <t>132/17</t>
  </si>
  <si>
    <t>Cheque No. 025003</t>
  </si>
  <si>
    <t xml:space="preserve">  4,79,883.01 </t>
  </si>
  <si>
    <t>1. Best Foods Ltd.          2.Ajit Singh
3. Dinesh Gupta                      4. Mohinder Pal Jindal</t>
  </si>
  <si>
    <t>Vivek Sharma,Civil Court, Ch.No.6, Narwana. 9996612080.</t>
  </si>
  <si>
    <t>M/s Inder Mal Suresh Kumar, Commission Agent, Narwana Through Suresh Kumar</t>
  </si>
  <si>
    <t>11.07.2017</t>
  </si>
  <si>
    <t>88/17</t>
  </si>
  <si>
    <t>Cheque No. 024857</t>
  </si>
  <si>
    <t xml:space="preserve">6,45,975.58 </t>
  </si>
  <si>
    <t>87/17</t>
  </si>
  <si>
    <t>Cheque No. 024991</t>
  </si>
  <si>
    <t>4,93,380.79</t>
  </si>
  <si>
    <t>M/s Johri Mal Sanjeev Kumar, Commission Agent, Narwana Through Rajinder</t>
  </si>
  <si>
    <t>131/17</t>
  </si>
  <si>
    <t>Cheque no. 024985</t>
  </si>
  <si>
    <t>4,79,799.43</t>
  </si>
  <si>
    <t>M/s Kansi Ram Hukam Chand, Commission Agent, Narwana Through Rajesh Kumar</t>
  </si>
  <si>
    <t>12.07.2017</t>
  </si>
  <si>
    <t>130/17</t>
  </si>
  <si>
    <t>Cheque no. 024987</t>
  </si>
  <si>
    <t>order is to be check</t>
  </si>
  <si>
    <t xml:space="preserve">   2,63,562.70 </t>
  </si>
  <si>
    <t>M/s Garg Trading Co., Commission Agent, Narwana Through Ashok Kumar</t>
  </si>
  <si>
    <t>13.07.2017</t>
  </si>
  <si>
    <t>127/17</t>
  </si>
  <si>
    <t>Cheque No. 024968</t>
  </si>
  <si>
    <t>9,92,090.56</t>
  </si>
  <si>
    <t>M/s Partap Trading Co., Commission Agent, Narwana Through Sandeep</t>
  </si>
  <si>
    <t>14.07.2017</t>
  </si>
  <si>
    <t>129/17</t>
  </si>
  <si>
    <t>Cheque No. 024998</t>
  </si>
  <si>
    <t>9,60,001.89</t>
  </si>
  <si>
    <t>M/s Anil Kumar Satish Kumar, Commission agent, Narwana through Satish Kumar</t>
  </si>
  <si>
    <t>17.07.2017</t>
  </si>
  <si>
    <t>05.03.2018</t>
  </si>
  <si>
    <t>167/17</t>
  </si>
  <si>
    <t>024981                  027582</t>
  </si>
  <si>
    <t>2,71,496.37        14,157.00</t>
  </si>
  <si>
    <t>M/s Gopi Ram Mohit Kumar, Commission Agent, New Anaj Mandi, Narwana Through Shamsher</t>
  </si>
  <si>
    <t>160/17</t>
  </si>
  <si>
    <t>Cheque No. 024971</t>
  </si>
  <si>
    <t>4,42,727.30</t>
  </si>
  <si>
    <t>M/s Mahavir Trading Co., Shop No. 28, New Grain Market, Madlauda Through Smt. Bimla Devi</t>
  </si>
  <si>
    <t>14.05.2018</t>
  </si>
  <si>
    <t>685/17</t>
  </si>
  <si>
    <t>Cheque No. 025197</t>
  </si>
  <si>
    <t>NBW Issued</t>
  </si>
  <si>
    <t>NBW received</t>
  </si>
  <si>
    <t>1. Best Foods Limited
2. Dinesh Gupta
3. Mahender Pal Jindal              4. Ajit Singh                                5. Rishi Raj Sharma</t>
  </si>
  <si>
    <t>Karan Singh Pannu, Panipat Cont. 9416151630</t>
  </si>
  <si>
    <t>Panipat</t>
  </si>
  <si>
    <t>M/s Hem Raj Jitender Kumar, Commission Agent, Mela mandi, Narwana Through Jitender Kumar Jain</t>
  </si>
  <si>
    <t>19.07.2017</t>
  </si>
  <si>
    <t>165/17</t>
  </si>
  <si>
    <t>024924                027549</t>
  </si>
  <si>
    <t>1,15,718.12           2,224</t>
  </si>
  <si>
    <t>M/s Nohar Chand Rajesh Kumar, Commission Agent, Narwana Through Subhash Chand</t>
  </si>
  <si>
    <t>24.07.2017</t>
  </si>
  <si>
    <t>25.01.2018</t>
  </si>
  <si>
    <t>126/17</t>
  </si>
  <si>
    <t>Cheque No. 024994</t>
  </si>
  <si>
    <t>1,71,261.15</t>
  </si>
  <si>
    <t>Bail bond Furnished</t>
  </si>
  <si>
    <t>M/s Dharam Veer Trading Co., Commission Agent, New Anaj Mandi, Narwana through Dharam Veer</t>
  </si>
  <si>
    <t>25.07.2017</t>
  </si>
  <si>
    <t>23.03.2018</t>
  </si>
  <si>
    <t>159/17</t>
  </si>
  <si>
    <t>024966           027562</t>
  </si>
  <si>
    <t>1,20,447.96                4,972</t>
  </si>
  <si>
    <t>1. Best Foods Limited
2. Ajit Singh                   3. Dinesh Gupta
4. Mohinder Pal Jindal</t>
  </si>
  <si>
    <t>M/s Mahinder Kumar Punit Kumar, Commsion Agent, Narwana Through Chander Bhan</t>
  </si>
  <si>
    <t>26.07.2017</t>
  </si>
  <si>
    <t>31.03.2018</t>
  </si>
  <si>
    <t>104/17</t>
  </si>
  <si>
    <t>Cheque No. 024859</t>
  </si>
  <si>
    <t>18,31,929.83</t>
  </si>
  <si>
    <t>M/s Inder Sain Pirthi Chand, Commission Agent, Narwana Through Bal Kishan</t>
  </si>
  <si>
    <t>26.02.2018</t>
  </si>
  <si>
    <t>103/17</t>
  </si>
  <si>
    <t>Cheque No. 024975</t>
  </si>
  <si>
    <t>14,74,253.94</t>
  </si>
  <si>
    <t>1. Best Foods Ltd.                       2. Ajit Singh
3. Dinesh Gupta
4. Mohinder Pal Jindal</t>
  </si>
  <si>
    <t>M/s Parveen Kumar Raj Kumar, Commission Agent, Narwana Through Parveen Kumar</t>
  </si>
  <si>
    <t>04.04.2018</t>
  </si>
  <si>
    <t>100/17</t>
  </si>
  <si>
    <t>Cheque No. 024999</t>
  </si>
  <si>
    <t xml:space="preserve"> 2,60,893.26 </t>
  </si>
  <si>
    <t>M/s Jagan Nath Ram Niwas, Commission Agent, Narwana Through Sunil</t>
  </si>
  <si>
    <t>101/17</t>
  </si>
  <si>
    <t>Cheque No. 024978</t>
  </si>
  <si>
    <t xml:space="preserve">11,08,455.82 </t>
  </si>
  <si>
    <t>M/s Chandi Ram Ram Sarup, Commission Agent, Narwana Through Ram Sarup</t>
  </si>
  <si>
    <t>99/17</t>
  </si>
  <si>
    <t>Cheque No. 024962</t>
  </si>
  <si>
    <t xml:space="preserve"> 6,60,361.08</t>
  </si>
  <si>
    <t>M/s Giani Ram Sushil Kumar, Commission Agent, Narwana Through Punit Kumar</t>
  </si>
  <si>
    <t>102/17</t>
  </si>
  <si>
    <t>Cheque No. 024969</t>
  </si>
  <si>
    <t>4,03,098.38</t>
  </si>
  <si>
    <t>M/s Jai Bhagwan Satish Kumar, Commission Agent, Narwana Through Satish Kumar</t>
  </si>
  <si>
    <t>97/17</t>
  </si>
  <si>
    <t>Cheque No. 025028</t>
  </si>
  <si>
    <t>17,65,743.03</t>
  </si>
  <si>
    <t>98/17</t>
  </si>
  <si>
    <t>Cheque No. 024858</t>
  </si>
  <si>
    <t>15,00,000</t>
  </si>
  <si>
    <t>M/s Vikas Enterprises, Commission Agent, New Anaj Mandi, Jind Through Sh. Vikas</t>
  </si>
  <si>
    <t>08.08.2017</t>
  </si>
  <si>
    <t>15.09.2017</t>
  </si>
  <si>
    <t>281/17</t>
  </si>
  <si>
    <t>012607                          028645</t>
  </si>
  <si>
    <t>1,24,659                                   56,097</t>
  </si>
  <si>
    <t xml:space="preserve">1.Best Foods Ltd  2.Dinesh Gupta 3.Mahender Pal Jindal 4.Rajiv Harjai         5.Ajit Singh </t>
  </si>
  <si>
    <t>M/s Sant Lal Ram Chander,Commission Agent, New Anaj Mandi, Narwana Through Rajender Pal Gupta</t>
  </si>
  <si>
    <t>24.01.2018</t>
  </si>
  <si>
    <t>134/17</t>
  </si>
  <si>
    <t>025013                   027597</t>
  </si>
  <si>
    <t>79,387.50                  21,495</t>
  </si>
  <si>
    <t>M/s Roshan Lal Subhash Chand, Commission Agent, Narwana Through Roshan Lal</t>
  </si>
  <si>
    <t>136/17</t>
  </si>
  <si>
    <t>025011                027592</t>
  </si>
  <si>
    <t>3,25,524.60                20,565</t>
  </si>
  <si>
    <t>M/s Kishori Lal Balwant Rai, Commission Agent, Narwana Through Rajesh Goyal</t>
  </si>
  <si>
    <t>163/17</t>
  </si>
  <si>
    <t>Cheque No. 024989</t>
  </si>
  <si>
    <t>3,44,559.85</t>
  </si>
  <si>
    <t>M/s Madan Lal Naresh Kumar, Commission Agent, Narwana Through Dharamvir</t>
  </si>
  <si>
    <t>28.07.2017</t>
  </si>
  <si>
    <t>140/17</t>
  </si>
  <si>
    <t>Cheque No. 024992</t>
  </si>
  <si>
    <t>M/s Jai Gopal Mohan Lal, Commission Agent, shop no. 156, New Anaj Mandi, Narwana Through Mohan Lal</t>
  </si>
  <si>
    <t>12.03.2018</t>
  </si>
  <si>
    <t>137/17</t>
  </si>
  <si>
    <t>Cheque No. 024983</t>
  </si>
  <si>
    <t>9,96,965.53</t>
  </si>
  <si>
    <t>1.Best Foods Ltd.
2. Dinesh Gupta
3. Mohinder Pal Jindal</t>
  </si>
  <si>
    <t>Sushil Kumar Sharma, Ch.No.19, Narwana</t>
  </si>
  <si>
    <t>M/s Atma Ram Balwan Singh, Commission Agent, New Anaj Mandi, Narwana Through Ashok Kumar</t>
  </si>
  <si>
    <t>30.03.2018</t>
  </si>
  <si>
    <t>164/17</t>
  </si>
  <si>
    <t>Cheque No. 023953</t>
  </si>
  <si>
    <t>5,42,068.20</t>
  </si>
  <si>
    <t>B/W received</t>
  </si>
  <si>
    <t>1.Best Foods Ltd  2.Mahinder Pal Jindal  3.Dinesh Gupta</t>
  </si>
  <si>
    <t>Dara Singh, Civil Court, Narwana</t>
  </si>
  <si>
    <t>M/s Guru Kirpa Trading Co., Commission Agent, Narwana  Through Satyawan</t>
  </si>
  <si>
    <t>29.07.2017</t>
  </si>
  <si>
    <t>138/17</t>
  </si>
  <si>
    <t>Cheque No. 024972</t>
  </si>
  <si>
    <t>3,22,385.49</t>
  </si>
  <si>
    <t>M/s Sat Pal Fakir Chand, Commission Agent, Narwana Through Fakir chand</t>
  </si>
  <si>
    <t>22.03.2018</t>
  </si>
  <si>
    <t>139/17</t>
  </si>
  <si>
    <t>025015                       027593</t>
  </si>
  <si>
    <t>3,43,698.43            20,899</t>
  </si>
  <si>
    <t>M/s Nuniya Mal Chabil Dass Jain, Commission Agent, Narwana through Ram Diya Jain</t>
  </si>
  <si>
    <t>20.03.2018</t>
  </si>
  <si>
    <t>176/17</t>
  </si>
  <si>
    <t>024995                  027585</t>
  </si>
  <si>
    <t>2,42,438.30          15,423</t>
  </si>
  <si>
    <t>Gaurav Aggarwal, Ch.No.6, Narwana. 9996612080.</t>
  </si>
  <si>
    <t>M/s Shubham Traders, Commission Agents, Narwana Through Sh. Rajesh Gopal</t>
  </si>
  <si>
    <t>175/17</t>
  </si>
  <si>
    <t>025020                      027583</t>
  </si>
  <si>
    <t>1,75,303.11      14,291</t>
  </si>
  <si>
    <t>M/s Gopal Dass Mangat Ram, Commisssion Agent, Shop No. 20, New Anaj Mandi, Madlauda Through Sh. Mangat Ram Taneja</t>
  </si>
  <si>
    <t>04.08.2017</t>
  </si>
  <si>
    <t>03.03.2018</t>
  </si>
  <si>
    <t>790/17</t>
  </si>
  <si>
    <t>025171                                 025261                         021395</t>
  </si>
  <si>
    <t>1,00,000          1,00,000                         16,313</t>
  </si>
  <si>
    <t xml:space="preserve">Summons received on 04.05.2017
</t>
  </si>
  <si>
    <t>1.Best Foods Limited          2.Mahender Pal Jindal 3.Dinesh Gupta              4.Ajit Singh                 5.Rajiv Harjai               6.Rishi Raj Sharma
7.Dinesh Gandhi</t>
  </si>
  <si>
    <t>Nitish Kumar, Ch. No. 56,57, Distt. Court Panipat</t>
  </si>
  <si>
    <t>M/s Puran Chand Pankaj Kumar, Commission Agent, Narwana Through Pankaj Kumar</t>
  </si>
  <si>
    <t>174/17</t>
  </si>
  <si>
    <t>025002              027560</t>
  </si>
  <si>
    <t xml:space="preserve">79,948.20        4,316  </t>
  </si>
  <si>
    <t>1. Best Foods Ltd.            2. Ajit Singh
3. Dinesh Gupta         4.Mohinder Pal Jindal</t>
  </si>
  <si>
    <t>M/s Babu Ram Vinod Kumar, Commission Agent, Narwana Through Prem Chand</t>
  </si>
  <si>
    <t>177/17</t>
  </si>
  <si>
    <t>024954      027563</t>
  </si>
  <si>
    <t>79993.47                  5130</t>
  </si>
  <si>
    <t>M/s Sohan Lal Kishori Lal, Commission Agent, Narwana Through Siri Krishan</t>
  </si>
  <si>
    <t>178/17</t>
  </si>
  <si>
    <t>Cheque No. 025021</t>
  </si>
  <si>
    <t>3,33,701.07</t>
  </si>
  <si>
    <t>M/s Anil Traders, Commission Agent, Narwana Through Mitar Sian</t>
  </si>
  <si>
    <t>06.03.2018</t>
  </si>
  <si>
    <t>180/17</t>
  </si>
  <si>
    <t>024952               027573</t>
  </si>
  <si>
    <t>1,98,544.36          10,440</t>
  </si>
  <si>
    <t>1. Best foods Ltd.                                                        2. Dinesh Gupta                                   3. Ajit Singh                                       4. Mohinder Pal Jindal</t>
  </si>
  <si>
    <t>Gaurav Aggarwal,, Ch.No.6, Narwana. 9996612080.</t>
  </si>
  <si>
    <t>M/s Kulwant Rai Madan Lal, Commission Agent, Narwana Through Madan Lal Garg</t>
  </si>
  <si>
    <t>179/17</t>
  </si>
  <si>
    <t>024986                027566</t>
  </si>
  <si>
    <t>1,11,346.36        6,447</t>
  </si>
  <si>
    <t>1. Best foods Ltd.         2.Ajit Singh
3. Dinesh Gupta
4. Mohinder Pal Jindal</t>
  </si>
  <si>
    <t>M/s Om Commission Agent, New Anaj Mandi, Madlauda</t>
  </si>
  <si>
    <t>1076/17</t>
  </si>
  <si>
    <t>025206    025287</t>
  </si>
  <si>
    <t>1,30,000                    1,40,000</t>
  </si>
  <si>
    <t>Matter send to Lok Adalat  for settlement and Bail bond furnished of Mr. Ajit Singh</t>
  </si>
  <si>
    <t>1.Best Foods Limited                        2.Mahender Pal Jindal                            3.Dinesh Gupta              4.Ajit Singh                     5. Dinesh Gandhi</t>
  </si>
  <si>
    <t>Anand Dahiya, Chamber No.181, District Court, Panipat</t>
  </si>
  <si>
    <t>M/s Ishwar Chand Manish Kumar, Commission Agent, Narwana Through Sonia</t>
  </si>
  <si>
    <t>22.02.2018</t>
  </si>
  <si>
    <t>183/17</t>
  </si>
  <si>
    <t>024977          027574</t>
  </si>
  <si>
    <t>1,71,345.82     10,577</t>
  </si>
  <si>
    <t>1.Best Foods Limited          2.Mahender Pal Jindal 3.Dinesh Gupta              4.Ajit Singh</t>
  </si>
  <si>
    <t>M/s Rati Ram Vinod Kumar, Commission Agent, Narwana Through Vinod Kumar</t>
  </si>
  <si>
    <t>01.08.2017</t>
  </si>
  <si>
    <t>181/17</t>
  </si>
  <si>
    <t>025008              027586</t>
  </si>
  <si>
    <t>1,04,515.84     15,757</t>
  </si>
  <si>
    <t>1. Best Foods Limited                   2. Ajit Singh
3. Mahender Pal Jindal
4. Rajiv Harjai</t>
  </si>
  <si>
    <t>M/s Anmol Trading Co., Commission Agent, New Anaj Mandi, Madlauda, Panipat Through Ms. Indrawati</t>
  </si>
  <si>
    <t>1075/17</t>
  </si>
  <si>
    <t>025154                  025246</t>
  </si>
  <si>
    <t>3,00,000                                3,00,000</t>
  </si>
  <si>
    <t>1.Best Foods Limited          2.Mahender Pal Jindal                            3.Ajit Singh                      4. Dinesh Gupta              
4.Dinesh Gandhi</t>
  </si>
  <si>
    <t>M/s Sahil Traders, Shop No. 93, New Anaj Mandi, Madlauda, Panipat Through Sh. Surender</t>
  </si>
  <si>
    <t>03.07.2017</t>
  </si>
  <si>
    <t>07.06.2018</t>
  </si>
  <si>
    <t>974/17</t>
  </si>
  <si>
    <t>Cheque No. 027293</t>
  </si>
  <si>
    <t xml:space="preserve">Summons received on 17.05.2017
</t>
  </si>
  <si>
    <t>1. Best Foods Limited     2.   Ajit Singh
3. Dinesh Gupta
4. Mahender Pal Jindal</t>
  </si>
  <si>
    <t>M/s Lachhi Ram Shri Bhagwan, Commission Agent, New Anaj Mandi, Madlauda</t>
  </si>
  <si>
    <t>08.11.2017</t>
  </si>
  <si>
    <t>1201/17</t>
  </si>
  <si>
    <t>025194          025280</t>
  </si>
  <si>
    <t>1,25,000                           1,00,000</t>
  </si>
  <si>
    <t>1. Best Foods Limited
2. Dinesh Gupta
3. Mahender Pal Jindal
4. Ajit Singh            6.Dinesh Gandhi</t>
  </si>
  <si>
    <t>M/s Naveen Enterprises, Commission Agent, New Anaj Mandi, Madlauda</t>
  </si>
  <si>
    <t>10.10.2017</t>
  </si>
  <si>
    <t>30.04.2018</t>
  </si>
  <si>
    <t>1200/17</t>
  </si>
  <si>
    <t>025205              025286</t>
  </si>
  <si>
    <t>65,000                              65,000</t>
  </si>
  <si>
    <t>1. Best Foods Limited
2. Dinesh Gupta
3. Mahender Pal Jindal
4. Ajit Singh            5.Dinesh Gandhi</t>
  </si>
  <si>
    <t>M/s Yadav Trading Co., Commission Agent, Shop No. 105, New Anaj Mandi, Jind Through Sh. Ram Bhaj</t>
  </si>
  <si>
    <t>18.10.2017</t>
  </si>
  <si>
    <t>Cheque no. 028647</t>
  </si>
  <si>
    <t>Summons receiived on 10.11.2017</t>
  </si>
  <si>
    <t>1.Best Foods International Pvt. Limited          2.Mahender Pal Jindal</t>
  </si>
  <si>
    <t>Ramesh Chand Sharma Advocate, Jind</t>
  </si>
  <si>
    <t>329/17</t>
  </si>
  <si>
    <t>Cheque no. 012609</t>
  </si>
  <si>
    <t>1,56,914</t>
  </si>
  <si>
    <t>1. Best Foods International Pvt. Ltd.
2.Mahender Pal Jindal</t>
  </si>
  <si>
    <t>02.11.2017</t>
  </si>
  <si>
    <t>1236/17</t>
  </si>
  <si>
    <t>025225           025303</t>
  </si>
  <si>
    <t>2,00,000                2,00,000</t>
  </si>
  <si>
    <t>1. Best Foods Limited     2.   Dinesh Gandhi                     3. Ajit Singh
4. Mahender Pal Jindal
5. Rajiv Harjai                    6.Dinesh Gupta</t>
  </si>
  <si>
    <t>M/s Jai Kishan Mahavir Parsad Jain, Shop No-9, New Anaj Mandi, Madlauda Through Sh. Mahavir Parsad</t>
  </si>
  <si>
    <t>1229/17</t>
  </si>
  <si>
    <t>Cheque No. 025181</t>
  </si>
  <si>
    <t>1,53,801.63</t>
  </si>
  <si>
    <t>1. Best Foods Limited                         2. Dinesh Gandhi                         3. Ajit Singh                          4. Mahender Pal Jindal
5. Rajiv Harjai                     6. Dinesh Gupta</t>
  </si>
  <si>
    <t>M/s Nonand Rai Baini Parshad, Commission Agent, Sop No. 16, New Anaj Mandi, Jind Through Jagan Nath</t>
  </si>
  <si>
    <t>12.04.2018</t>
  </si>
  <si>
    <t>252/17</t>
  </si>
  <si>
    <t>Cheque No. 012569</t>
  </si>
  <si>
    <t>3,57,143</t>
  </si>
  <si>
    <t xml:space="preserve">Summons received on 22.05.2017
</t>
  </si>
  <si>
    <t>1.Best Foods Limited  2.Mahender Pal Jindal 3.Dinesh Gupta</t>
  </si>
  <si>
    <t>Kuldip Kumar Mittal, Dist. Court, Jind</t>
  </si>
  <si>
    <t>M/s Chandi Ram Gulshan Kumar, Commission Agent, Shop No. 11 and 24, Narwana through Gulshan Kumar</t>
  </si>
  <si>
    <t>72/17</t>
  </si>
  <si>
    <t>Cheque No. 024961</t>
  </si>
  <si>
    <t>2,98,644.79</t>
  </si>
  <si>
    <t>1. Best Foods Limited                  2. Ajit Singh
3. Dinesh Gupta
4. Mahender Pal Jindal
5. Rajiv Harjai</t>
  </si>
  <si>
    <t>Sanjiv Kumar Jindal,Kaithal,
9896042606, email: sansummridul@rediffmail.com.</t>
  </si>
  <si>
    <t>M/s Suraj Mal Ravi Kumar, Commission Agent, Shop No. 16, New Anaj Mandi, Narwana through Sh. Roshan Lal</t>
  </si>
  <si>
    <t>45/17</t>
  </si>
  <si>
    <t>Cheque No. 33025024</t>
  </si>
  <si>
    <t>1. Best Foods Limited
2. Dinesh Gupta
3. Mahender Pal Jindal</t>
  </si>
  <si>
    <t>M/s Ramesh Chand Sandeep Kumar, Commission Agent, Narwana Through Sh. Ramesh Sharma</t>
  </si>
  <si>
    <t>16.03.2018</t>
  </si>
  <si>
    <t>71/17</t>
  </si>
  <si>
    <t>Cheque No. 025006</t>
  </si>
  <si>
    <t>1. Ajit Singh
2. Best Foods Limited
3. Dinesh Gupta
4. Mahender Pal Jindal
5. Rajiv Harjai</t>
  </si>
  <si>
    <t>M/s Suresh Kumar Naresh Kumar, Commission Agent, Anaj Mandi, Narwana through Suresh Kumar</t>
  </si>
  <si>
    <t>04.09.2017</t>
  </si>
  <si>
    <t>20.02.2018</t>
  </si>
  <si>
    <t>206/17</t>
  </si>
  <si>
    <t>025025                   027550</t>
  </si>
  <si>
    <t>32,455.55           2,252</t>
  </si>
  <si>
    <t>1.Best Foods Ltd.                    2. Mohinder pal Jindal            3.Dinesh Gupta      3.Ajit Singh</t>
  </si>
  <si>
    <t>Gaurav Aggarwal,Civil Court,  Narwana.</t>
  </si>
  <si>
    <t>M/s Krishan Kumar Mahavir Singh, Commission Agent, shop No. 109, Mela ground, Anaj Mandi, Narwana Through Dharampal Singh</t>
  </si>
  <si>
    <t>09.08.2017</t>
  </si>
  <si>
    <t>213/17</t>
  </si>
  <si>
    <t>Cheque No. 024990</t>
  </si>
  <si>
    <t>1,75,537.21</t>
  </si>
  <si>
    <t>Ram Prasad Malik, Chamber No.4, Civil Courts, Narwana</t>
  </si>
  <si>
    <t>M/s Sushil Bhushan Gupta &amp; Company, Commission Agent, Narwana</t>
  </si>
  <si>
    <t>17.01.2018</t>
  </si>
  <si>
    <t>151/17</t>
  </si>
  <si>
    <t>Cheque No. 025026</t>
  </si>
  <si>
    <t>Dismissed as withdrawn order dated 09.12.2017</t>
  </si>
  <si>
    <t>Himanshu Sharma,                     Advocate Narwana</t>
  </si>
  <si>
    <t>M/s Tara Chand Rajiv Kumar, Commission Agent, Anaj Mandi, Safidon Through Rajiv Kumar</t>
  </si>
  <si>
    <t>17.02.2018</t>
  </si>
  <si>
    <t>161/17</t>
  </si>
  <si>
    <t>Cheque No. 012775</t>
  </si>
  <si>
    <t>2,23,360.57</t>
  </si>
  <si>
    <t>Bail Bond Furnished of Mr. Ajit Singh</t>
  </si>
  <si>
    <t>1. Best foods Limited    2.Ajit Singh
3. Dinesh Gandhi                       4. Mahender Pal Jindal                  5. Dinesh Gupta                        6. Raj Kumar          7. Ajay Kumar Vashistha                 8.Potan</t>
  </si>
  <si>
    <t>Abhishek Garg,
Civil Courts, Safidon</t>
  </si>
  <si>
    <t>M/s Rahul Trading Co., Commission Agent, shop no. 161, New Anaj Mandi, Jind Through Suresh Kumar</t>
  </si>
  <si>
    <t>14.08.2017</t>
  </si>
  <si>
    <t>291/17</t>
  </si>
  <si>
    <t>Cheque No. 025407</t>
  </si>
  <si>
    <t>NBW ISSUED</t>
  </si>
  <si>
    <t>3,42,979</t>
  </si>
  <si>
    <t>NBW issued to accused no. 2 and 3 baialble issued for accused no 1</t>
  </si>
  <si>
    <t>1.Best Foods Ltd.  2.Dinesh Gupta  3.Mahinder Pal Jindal</t>
  </si>
  <si>
    <t>285/17</t>
  </si>
  <si>
    <t>Cheque No. 012575</t>
  </si>
  <si>
    <t>7,62,174</t>
  </si>
  <si>
    <t>290/17</t>
  </si>
  <si>
    <t>Cheque No. 028605</t>
  </si>
  <si>
    <t>3,42,978</t>
  </si>
  <si>
    <t xml:space="preserve"> M/s Suresh Kumar &amp; sons, New Anaj Mandi, Shop No. 161, Jind  Through General Power of Attorney Sh. Suresh Kumar</t>
  </si>
  <si>
    <t>293/17</t>
  </si>
  <si>
    <t>Cheque No. 025408</t>
  </si>
  <si>
    <t>2,10,208</t>
  </si>
  <si>
    <t>1.Best Foods Ltd.  2.Dinesh Gupta  3.Mahinder Pal Jindal    4. Ajit Singh</t>
  </si>
  <si>
    <t>286/17</t>
  </si>
  <si>
    <t>Cheque No. 012602</t>
  </si>
  <si>
    <t>4,67,130</t>
  </si>
  <si>
    <t>287/17</t>
  </si>
  <si>
    <t>Cheque No. 028639</t>
  </si>
  <si>
    <t>M/s Raghbir Singh Balwan Singh, Commission Agent, New Anaj Mandi, Jind Through Sh. Balwan Singh</t>
  </si>
  <si>
    <t>251/17</t>
  </si>
  <si>
    <t>012573          025405</t>
  </si>
  <si>
    <t>5,56,386               2,50,374</t>
  </si>
  <si>
    <t>1. Best Foods Limited
2. Dinesh Gupta
3. Mahender Pal Jindal
4. Ajit Singh        5. Rajiv Harjai</t>
  </si>
  <si>
    <t>Hoshiar Singh Lather, Dist. Court, Jind. 9416386601</t>
  </si>
  <si>
    <t>M/s Ujala Ram Ashish Kumar, Commission Agent, Shop No. 159, New Anaj Mandi, Jind Through Sh. Anoop Singh Redhu</t>
  </si>
  <si>
    <t>15.05.2018</t>
  </si>
  <si>
    <t>249/17</t>
  </si>
  <si>
    <t>Cheque No. 012606</t>
  </si>
  <si>
    <t>1,14,981</t>
  </si>
  <si>
    <t xml:space="preserve">Summons received on 09.06.2017  FILE  DISPATCH TO ADV. KARTAR SINGH </t>
  </si>
  <si>
    <t>M/s Ram Mehar Singh Sachin Kumar, Commission Agent, New Anaj Mandi, Jind Through Ram Mehar Singh</t>
  </si>
  <si>
    <t>250/17</t>
  </si>
  <si>
    <t>Cheque No. 012580</t>
  </si>
  <si>
    <t>2,40,314</t>
  </si>
  <si>
    <t>1. Best Foods Limited
2. Dinesh Gupta
3. Mahender Pal Jindal
4. Ajit Singh
5. Rajiv Harjai</t>
  </si>
  <si>
    <t>M/s Karan Commission Agent, Shop No. 156, New Grain Market, Jind Through Sh. Ram Phal Dhanda</t>
  </si>
  <si>
    <t>253/17</t>
  </si>
  <si>
    <t>Cheque No. 012552</t>
  </si>
  <si>
    <t>3,89,052</t>
  </si>
  <si>
    <t>20.11.2017</t>
  </si>
  <si>
    <t>21.05.2018</t>
  </si>
  <si>
    <t>1239/17</t>
  </si>
  <si>
    <t>Cheque No. 025282</t>
  </si>
  <si>
    <t>1. Best Foods Limited
2. Dinesh Gupta
3. Mahender Pal Jindal              4. Ajit Singh</t>
  </si>
  <si>
    <t>Karan Singh Pannu, Panipat.
9416151630. email: karanpannu49@yahoo.com.</t>
  </si>
  <si>
    <t>M/s Bansal Traders, Shop No. 59, New Anaj Mandi, Madlauda Through Sh. Jagdish Chander</t>
  </si>
  <si>
    <t>09.10.2017</t>
  </si>
  <si>
    <t>1234/17</t>
  </si>
  <si>
    <t>025159                        025251</t>
  </si>
  <si>
    <t>80,000                         1,00,000</t>
  </si>
  <si>
    <t>Summons received on 09.06.2017  FILE</t>
  </si>
  <si>
    <t>1. Best Foods Limited
2. Mahender Pal Jindal                               3. Dinesh Gupta
4. Ajay Kumar Vashisth
5. Potan                                      6. Sunil Kumar Sharma</t>
  </si>
  <si>
    <t>Joginder Singh Malik,
Chamber No. 98, 1st Floor,New Court Complex, Panipat</t>
  </si>
  <si>
    <t>M/s Shiv Narain Sunil Kumar, Shop No. 1, New Anaj Mandi, Madlauda Through Sh. Sunil Kumar</t>
  </si>
  <si>
    <t>09.11.2017</t>
  </si>
  <si>
    <t>1233/17</t>
  </si>
  <si>
    <t>025306                       025228</t>
  </si>
  <si>
    <t>65,000                    65,000</t>
  </si>
  <si>
    <t>Dismissed as withdrawn order dated 10.01.2018</t>
  </si>
  <si>
    <t>1. Best Foods Limited
2.Mahender Pal Jindal                            3. Dinesh Gandhi
4.  Rajiv Harjai                5.Ajit Singh</t>
  </si>
  <si>
    <t>Ved Pal Kadyan, Chamber No. 33, Ground floor, Panipat</t>
  </si>
  <si>
    <t>M/s Devendra Trading Co., Shop No. 73, New Anaj Mandi, Madlauda Panipat Through Sh. Rohtash Singh</t>
  </si>
  <si>
    <t>1240/17</t>
  </si>
  <si>
    <t>025166              025257</t>
  </si>
  <si>
    <t>P.O</t>
  </si>
  <si>
    <t>2,00,000                     2,35,000</t>
  </si>
  <si>
    <t>Publication notice received</t>
  </si>
  <si>
    <t>1. Best Foods Limited
2. Dinesh Gupta
3. Mahender Pal Jindal
4. Rishi Raj         5. Ajit Singh</t>
  </si>
  <si>
    <t>Karan Singh Pannu, Chamber No. 182,  Distt. Courts, Panipat</t>
  </si>
  <si>
    <t>M/s Mange Ram Randeep Kumar, Shop No. 88, New Anaj Mandi, Madlauda Panipat Through Smt. Urmila</t>
  </si>
  <si>
    <t>1241/17</t>
  </si>
  <si>
    <t>Cheque No. 025200</t>
  </si>
  <si>
    <t>1. Best Foods Limited
2. Dinesh Gupta
3. Mahender Pal Jindal
4. Rishi Raj</t>
  </si>
  <si>
    <t>M/s Moti Ram Panna Lal, Shop No. 9, New Grain Market, Madlauda Panipat Through Sh. Krishan Dass</t>
  </si>
  <si>
    <t>1232/17</t>
  </si>
  <si>
    <t>025202                025285</t>
  </si>
  <si>
    <t>1,25,000                       1,00,000</t>
  </si>
  <si>
    <t>1. Best Foods Limited
2. Mahender Pal Jindal                       3. Dinesh Gandhi
4. Mahender Pal Jindal
4. Rajiv Harjai                          5. Ajit Singh</t>
  </si>
  <si>
    <t>Ved Pal Kadyan, Chamber No. 33, Ground floor, Distt. Courts, Panipat</t>
  </si>
  <si>
    <t>M/s Mann Trading Co., Commission Agent, Shop No. 173, New Anaj Mandi, Jind Through Sh. Jagdeep Singh Mann</t>
  </si>
  <si>
    <t>265/17</t>
  </si>
  <si>
    <t>012557           025402          028579</t>
  </si>
  <si>
    <t>7,93,652             3,57,143            3,57,143</t>
  </si>
  <si>
    <t>Accused no. 1 to 3 NBW issued</t>
  </si>
  <si>
    <t>1. Best Foods Limited
2. Dinesh Gupta
3. Mahender Pal Jindal
4. Ajay Kumar Vashistha          5. Potan</t>
  </si>
  <si>
    <t>M/s Chaudhary Trading Co., Shop No. 74, New Grain Market, Jind Through Satish Kumar</t>
  </si>
  <si>
    <t>17.10.2017</t>
  </si>
  <si>
    <t>28.02.2018</t>
  </si>
  <si>
    <t>322/17</t>
  </si>
  <si>
    <t>Cheque No. 012531</t>
  </si>
  <si>
    <t>2,93,505</t>
  </si>
  <si>
    <t>Summons received on 04.10.2017</t>
  </si>
  <si>
    <t>1. Best Foods Limited
2. Dinesh Gupta
3. Mahender Pal Jindal
4. Ajit Singh
5. Dinesh Gandhi</t>
  </si>
  <si>
    <t>Rajiv kumar Advocate, Jind</t>
  </si>
  <si>
    <t>264/17</t>
  </si>
  <si>
    <t>012558           025403          028580</t>
  </si>
  <si>
    <t>10,47,826             4,71,521             4,71,522</t>
  </si>
  <si>
    <t>M/s Yadav Enterprises, Commission Agent, Shop No. 105, New Anaj Mandi, Jind Through Sh. Manoj</t>
  </si>
  <si>
    <t>330/17</t>
  </si>
  <si>
    <t>Cheque No. 012608</t>
  </si>
  <si>
    <t>1,09,991</t>
  </si>
  <si>
    <t>M/s Gagandeep Trading Co., Shop No-164, New Grain Market, Jind Through Raj Bala</t>
  </si>
  <si>
    <t>23.10.2017</t>
  </si>
  <si>
    <t>15.03.2018</t>
  </si>
  <si>
    <t>538/17</t>
  </si>
  <si>
    <t>Cheque no. 027840</t>
  </si>
  <si>
    <t>2,28,986.79</t>
  </si>
  <si>
    <t>Summons received on 11.10.2017</t>
  </si>
  <si>
    <t>1. Best Foods Limited      2. Dinesh Gupta   3. Mahender Pal Jindal    4. Rajiv Harjai    5. Sh. Dinesh Gandhi</t>
  </si>
  <si>
    <t>Surender Redhu Adv. Chember No-227, Distt. Courts, Jind Ph-98139-50003</t>
  </si>
  <si>
    <t>16.12.2017</t>
  </si>
  <si>
    <t>303/17</t>
  </si>
  <si>
    <t>012539                     028556</t>
  </si>
  <si>
    <t>2,42,457            1,09,106</t>
  </si>
  <si>
    <t>Bail Bond Furnished Mr. Ajit Singh</t>
  </si>
  <si>
    <t>1. Best Foods Limited      2. Dinesh Gupta   3. Mahender Pal Jindal    4. Ajit Singh    5. Sh. Rajiv Harjai</t>
  </si>
  <si>
    <t>29.08.2017</t>
  </si>
  <si>
    <t>311/17</t>
  </si>
  <si>
    <t>Chque no. 028611</t>
  </si>
  <si>
    <t>1,08,141</t>
  </si>
  <si>
    <t xml:space="preserve">Summons received on 15.06.2017  FILE  DISPATCH TO ADV. KARTAR SINGH </t>
  </si>
  <si>
    <t>M/s Sandhu Trading Co., Commission Agent, New Grain Market, Jind Through Sh. Satywan</t>
  </si>
  <si>
    <t>310/17</t>
  </si>
  <si>
    <t>Cheque No. 012595</t>
  </si>
  <si>
    <t>7,40,688</t>
  </si>
  <si>
    <t>Manjit Singh Adv. Jind Mob-94163-88323</t>
  </si>
  <si>
    <t>M/s Kandela Trading Co., Shop No-165, New Grain Market, Jind through Ram kesh Redhu</t>
  </si>
  <si>
    <t>01.03.2018</t>
  </si>
  <si>
    <t>539/17</t>
  </si>
  <si>
    <t>Cheque No. 027919</t>
  </si>
  <si>
    <t>2,77,395.24</t>
  </si>
  <si>
    <t>1. Best Foods Limited
2. Dinesh Gupta
3. Mahender Pal Jindal
4. Ajit Singh</t>
  </si>
  <si>
    <t>Surender Redhu Adv. Chamber No-227, Jind Mob-98139-50003</t>
  </si>
  <si>
    <t>M/s Redhu Traders, Commission Agent, shop no. 149, New Anaj Mandi, Jind Through Sh. Phul Singh</t>
  </si>
  <si>
    <t>24.08.2017</t>
  </si>
  <si>
    <t>282/17</t>
  </si>
  <si>
    <t>012571           028601</t>
  </si>
  <si>
    <t>92,338                        41,552</t>
  </si>
  <si>
    <t>1. Best Foods Limited
2. Dinesh Gupta
3. Mahender Pal Jindal
4. Ajit Singh                           5. Rajiv harjai</t>
  </si>
  <si>
    <t>Hoshair Singh Lather Adv. M-94163-86601</t>
  </si>
  <si>
    <t>M/s Ruldu Ram and sons, Shop No. 165-B, New Grain Market, Jind through Zile Singh</t>
  </si>
  <si>
    <t>01.09.2017</t>
  </si>
  <si>
    <t>318/17</t>
  </si>
  <si>
    <t>012585                      028619</t>
  </si>
  <si>
    <t>67,496                   30,373</t>
  </si>
  <si>
    <t>Summons received on 17.06.2017  FILE</t>
  </si>
  <si>
    <t>1. Best Foods Limited
2. Dinesh Gandhi
3. Mahender Pal Jindal
4. Ajit Singh         5.Rajiv Harjai</t>
  </si>
  <si>
    <t>M/s Dhanda Trading Co., Commission Agent, Shop No. 168, New Anaj Mandi, Jind Through Smt.Anupama</t>
  </si>
  <si>
    <t>25.10.2017</t>
  </si>
  <si>
    <t>17.03.2018</t>
  </si>
  <si>
    <t>504/17</t>
  </si>
  <si>
    <t>Cheque No. 027838</t>
  </si>
  <si>
    <t>10,41,631.96</t>
  </si>
  <si>
    <t>1.Best Foods Ltd. 2.Mahender Pal Jindal 3.Dinesh Gupta</t>
  </si>
  <si>
    <t>M/s Dhanda Commission Agent, Shop No. 169, New Anaj Mandi, Jind Through Sh. Ajit Singh Dhanda</t>
  </si>
  <si>
    <t>22.08.2017</t>
  </si>
  <si>
    <t>277/17</t>
  </si>
  <si>
    <t>012536        025699        028552</t>
  </si>
  <si>
    <t>2,70,185                1,21,583                1,21,583</t>
  </si>
  <si>
    <t>Summons received on 23.06.2017  FILE</t>
  </si>
  <si>
    <t>1. Best Foods Limited
2. Dinesh Gupta
3. Mahender Pal Jindal
4. Ajit Singh         5.Rajiv Harjai     6.Dinesh Gandhi</t>
  </si>
  <si>
    <t>Suresh Kumar Garg, Chamber No. 34, Jind, 01681-245165,  M-9416060165</t>
  </si>
  <si>
    <t>505/17</t>
  </si>
  <si>
    <t>Cheque No. 027837</t>
  </si>
  <si>
    <t>1,94,382.26</t>
  </si>
  <si>
    <t>1. Best Foods Limited
2. Dinesh Gupta
3. Mahender Pal Jindal
4.Rajiv Harjai     5.Dinesh Gandhi</t>
  </si>
  <si>
    <t>278/17</t>
  </si>
  <si>
    <t>012537         025700          028553</t>
  </si>
  <si>
    <t>14,47,827           6,51,522             6,51,522</t>
  </si>
  <si>
    <t>Suresh Kumar Garg, Chamber No. 34, Jind, 01681-245165,  M-9416060165 E-mail:- skgarg3501@gmail.com</t>
  </si>
  <si>
    <t>319/17</t>
  </si>
  <si>
    <t>012551                    028570</t>
  </si>
  <si>
    <t>2,93,712               1,32,171</t>
  </si>
  <si>
    <t>1. Best Foods Limited
2. Dinesh Gupta
3. Mahender Pal Jindal
4. Ajit Singh         5.Rajiv Harjai</t>
  </si>
  <si>
    <t>Cheque No. 028646</t>
  </si>
  <si>
    <t>1. Best Foods International Pvt. Ltd.
2. Mahender Pal Jindal</t>
  </si>
  <si>
    <t>M/s C.R.Enterprises, Commission Agent, Shop No. 55, New Grain Market, Jind Through Sh. Hemant</t>
  </si>
  <si>
    <t>345/17</t>
  </si>
  <si>
    <t>Cheque No. 028540</t>
  </si>
  <si>
    <t>5,52,370</t>
  </si>
  <si>
    <t>1. Best Foods Limited
2. Dinesh Gupta
3. Mahender Pal Jindal
4. Ajit Singh            5. Ajay Kumar Vashishth           6.Dinesh Gandhi</t>
  </si>
  <si>
    <t xml:space="preserve">Vinod Bansal Adv. Chamber N-2, Mob-94163-61399  </t>
  </si>
  <si>
    <t>M/s Raghbir Singh Satpal Singh,  Shop No-131,  New Grain Market, Jind Through Subhash</t>
  </si>
  <si>
    <t>275/17</t>
  </si>
  <si>
    <t>012574          025406       028604</t>
  </si>
  <si>
    <t>6,18,264            2,78,219         2,78,219</t>
  </si>
  <si>
    <t>1. Best Foods Ltd.          2. Dinesh Gupta           3. Mahender Pal Jindal
4. Ajit Singh             5.Dinesh Gandhi</t>
  </si>
  <si>
    <t>M/s Satbir Singh Surender kumar, Commission Agent, New Grain Market, Shop No. 150, Jind Through Sh. Chatter Singh</t>
  </si>
  <si>
    <t>20.07.2017</t>
  </si>
  <si>
    <t>279/17</t>
  </si>
  <si>
    <t>012587                   028622</t>
  </si>
  <si>
    <t>2,97,027            1,33,662</t>
  </si>
  <si>
    <t>1.Best Foods Limited
2. Dinesh Gupta
3. Mahender Pal Jindal
4. Ajit Singh             5.Rajiv Harjai</t>
  </si>
  <si>
    <t>M/s Zamindar Trading, Commission Agent, Shop No. 221, New Grain Market, Jind Through Sh. Balwan Singh</t>
  </si>
  <si>
    <t>280/17</t>
  </si>
  <si>
    <t>012611                025410                     028649</t>
  </si>
  <si>
    <t>2,61,431         1,17,644          1,17,644</t>
  </si>
  <si>
    <t>1.Best Foods Limited
2. Dinesh Gupta
3. Mahender Pal Jindal
4. Ajit Singh             5.Sh. Rajiv Harjai</t>
  </si>
  <si>
    <t>M/s Niraj Trading Company, Commission Agent, Shop No. 151, New Anaj Mandi, Jind Through Smt. Neelam</t>
  </si>
  <si>
    <t>268/17</t>
  </si>
  <si>
    <t>Cheque No. 028596</t>
  </si>
  <si>
    <t>1. Best Foods Limited           2. Dinesh Gupta          3. Mahinder Pal Jindal</t>
  </si>
  <si>
    <t>30.11.2017</t>
  </si>
  <si>
    <t>267/17</t>
  </si>
  <si>
    <t>Cheque No. 028572</t>
  </si>
  <si>
    <t>1,75,073</t>
  </si>
  <si>
    <t xml:space="preserve">Summons received on 07.07.2017  FILE  DISPATCH TO ADV. KARTAR SINGH </t>
  </si>
  <si>
    <t>Hoshair Singh Lather, Adv.  Chember-83,       M-94163-86601</t>
  </si>
  <si>
    <t>11.08.2017</t>
  </si>
  <si>
    <t>269/17</t>
  </si>
  <si>
    <t>Cheque No. 012568</t>
  </si>
  <si>
    <t>1,60,672</t>
  </si>
  <si>
    <t>27.09.2017</t>
  </si>
  <si>
    <t>26.09.2017</t>
  </si>
  <si>
    <t>270/17</t>
  </si>
  <si>
    <t>Cheque no. 028644</t>
  </si>
  <si>
    <t>1. Best Foods Ltd    2. Dinesh Gupta        3. Mahinder Pal Jindal</t>
  </si>
  <si>
    <t>21.08.2017</t>
  </si>
  <si>
    <t>195/17</t>
  </si>
  <si>
    <t>Cheque No. 027578</t>
  </si>
  <si>
    <t>1. Best Foods Ltd.        2.Dinesh Gupta            3. Mahinder Pal Jindal                   4.Ajit Singh</t>
  </si>
  <si>
    <t>M/s Rishi Pal Mohit Kumar, Commission Agent, Anaj Mandi, Narwana through Smt. Ram kali Devi</t>
  </si>
  <si>
    <t>196/17</t>
  </si>
  <si>
    <t>025010   027584</t>
  </si>
  <si>
    <t>1,99,611.08          15,388</t>
  </si>
  <si>
    <t>194/17</t>
  </si>
  <si>
    <t>Cheque No. 027579</t>
  </si>
  <si>
    <t>M/s Shamsher Singh Sushil Kumar, Commission Agent, Narwana Through Shamsher singh</t>
  </si>
  <si>
    <t>193/17</t>
  </si>
  <si>
    <t>025012        027572</t>
  </si>
  <si>
    <t>1,82,594.78      10,233</t>
  </si>
  <si>
    <t>M/s Ishwar Chand Mahavir Parsad, Commission Agent, Narwana Through Mahabir Parshad Goyal</t>
  </si>
  <si>
    <t>18.08.2017</t>
  </si>
  <si>
    <t>190/17</t>
  </si>
  <si>
    <t>Cheque No. 027575</t>
  </si>
  <si>
    <t>M/s Dharam Pal Anil Kumar, Commission Agent, Narwana Through Shashi Bhushan Gupta</t>
  </si>
  <si>
    <t>19.08.2017</t>
  </si>
  <si>
    <t>189/17</t>
  </si>
  <si>
    <t>Cheque No. 024965</t>
  </si>
  <si>
    <t>1,04,440.14</t>
  </si>
  <si>
    <t>M/s Vishnu Trading Co., Commission Agent, New Anaj Mandi, Madlauda, Panipat</t>
  </si>
  <si>
    <t>03.11.2017</t>
  </si>
  <si>
    <t>24.05.2018</t>
  </si>
  <si>
    <t>1404/17</t>
  </si>
  <si>
    <t>025243                   025318</t>
  </si>
  <si>
    <t>65,000                                     65,000</t>
  </si>
  <si>
    <t>Summons received on 21.07.2017  FILE</t>
  </si>
  <si>
    <t>1. Best foods ltd.                       2. Dinesh Gandhi                     3 Ajit Singh                              4. Mahender Pal Jindal                     5. Rajiv Harjai</t>
  </si>
  <si>
    <t>M/s Devine Enterprises, Commission Agent, New Anaj Mandi, Madlauda, Panipat</t>
  </si>
  <si>
    <t>1592/17</t>
  </si>
  <si>
    <t>Cheque No. 025258</t>
  </si>
  <si>
    <t>3,00,000</t>
  </si>
  <si>
    <t>Withdraw on 10.07.2017</t>
  </si>
  <si>
    <t>1.Best Foods Limited  2.Mahender Pal Jindal 3. Dinesh Gupta</t>
  </si>
  <si>
    <t>12.10.2017</t>
  </si>
  <si>
    <t>502/17</t>
  </si>
  <si>
    <t>Cheque No. 027873</t>
  </si>
  <si>
    <t>3,37,301</t>
  </si>
  <si>
    <t>299/17</t>
  </si>
  <si>
    <t>Cheque No.  028597</t>
  </si>
  <si>
    <t>1,60,714</t>
  </si>
  <si>
    <t>RAJA HUSSAIN, BAREILLY</t>
  </si>
  <si>
    <t>12.08.2017</t>
  </si>
  <si>
    <t>Complaint Case/1002/2017</t>
  </si>
  <si>
    <t xml:space="preserve">Summons received on 22.07.2017
</t>
  </si>
  <si>
    <t>Mahender Pal Jindal</t>
  </si>
  <si>
    <t>Bareily</t>
  </si>
  <si>
    <t>02.08.2017</t>
  </si>
  <si>
    <t>Complaint Case/4000330/2017</t>
  </si>
  <si>
    <t xml:space="preserve">Summons received on 27.07.2017
</t>
  </si>
  <si>
    <t>M/s Zamindar Enterprises, Commission Agent, Shop No. 221, New Grain Market, Jind Through Sh. Balwan Singh</t>
  </si>
  <si>
    <t>289/17</t>
  </si>
  <si>
    <t>012610                025409                 028648</t>
  </si>
  <si>
    <t>2,74,597                 1,23,569               1,23,569</t>
  </si>
  <si>
    <t>Summons received on 31.07.2017</t>
  </si>
  <si>
    <t>M/s Mahadev Trading Co., Commission Agent, Shop No. 221, New Grain Market, Jind through Smt. Neelam Devi</t>
  </si>
  <si>
    <t>288/17</t>
  </si>
  <si>
    <t>012559              025404</t>
  </si>
  <si>
    <t>1,04,142             46,864</t>
  </si>
  <si>
    <t>M/s Bansal Trading Co., Commission Agent, Shop No. 10, New Grain Market, Jind Through Shashi Bhushan</t>
  </si>
  <si>
    <t>19.09.2017</t>
  </si>
  <si>
    <t>353/17</t>
  </si>
  <si>
    <t>012524         028536</t>
  </si>
  <si>
    <t>4,24,518          1,91,033</t>
  </si>
  <si>
    <t>M/s Raghbir Singh Balwan Singh, Commission agent, Shop No. 194, New Grain Market, Jind Through Balwan singh</t>
  </si>
  <si>
    <t>273/17</t>
  </si>
  <si>
    <t>Cheque no. 028603</t>
  </si>
  <si>
    <t>2,50,374</t>
  </si>
  <si>
    <t>M/s Rohtash Singh Ashish Kumar, Commission Agent, Shop No. 148-A, New Grain Market, Jind Through Sh. Rohtash Singh</t>
  </si>
  <si>
    <t>332/17</t>
  </si>
  <si>
    <t>Cheque no. 028618</t>
  </si>
  <si>
    <t>M/s Atul Trading Company, Commission Agent, New Anaj Mandi, Jind Through Sh. Sunder Lal</t>
  </si>
  <si>
    <t>363/17</t>
  </si>
  <si>
    <t>Cheque No. 028535</t>
  </si>
  <si>
    <t xml:space="preserve">Shri Pawan Putra Enterprises, Commission Agent, New Grain Market, Jind Through Sh. Mahabir </t>
  </si>
  <si>
    <t>364/17</t>
  </si>
  <si>
    <t>Cheque No. 028629</t>
  </si>
  <si>
    <t>M/s Bansal Trading Co., Shop No. 210, New Grain Market, Gohana Through Sh. Naresh Kumar</t>
  </si>
  <si>
    <t>29.11.2017</t>
  </si>
  <si>
    <t>COMA/62/17</t>
  </si>
  <si>
    <t>Cheque No. 04996</t>
  </si>
  <si>
    <t>2,00,000</t>
  </si>
  <si>
    <t>Gohana</t>
  </si>
  <si>
    <t>COMA/34/17</t>
  </si>
  <si>
    <t>4510                       4886                     4773</t>
  </si>
  <si>
    <t>2,00,000                           2,00,000                      2,00,000</t>
  </si>
  <si>
    <t>09.04.2018</t>
  </si>
  <si>
    <t>COMA/61/17</t>
  </si>
  <si>
    <t>012084                           011904                011964                    012024</t>
  </si>
  <si>
    <t>50,000                    50,000                      50,000                     50,000</t>
  </si>
  <si>
    <t>1. Best Foods Limited
2. Mahender Pal Jindal
3. Ajit Singh</t>
  </si>
  <si>
    <t>M/s Lathwal Trading Company, Shop No. 209, New Grain Market, Gohana Through Anuj Singh</t>
  </si>
  <si>
    <t>14.03.2018</t>
  </si>
  <si>
    <t>437/17</t>
  </si>
  <si>
    <t>004630           004808</t>
  </si>
  <si>
    <t>20,000                  94,626.08</t>
  </si>
  <si>
    <t>Summons received on 05.08.2017</t>
  </si>
  <si>
    <t>M/s Nand Ram Khushi Ram , Shop No-197, New Grain Market, Gohana Through Sh. Rakesh Kumar</t>
  </si>
  <si>
    <t>16.11.2017</t>
  </si>
  <si>
    <t>19.04.2018</t>
  </si>
  <si>
    <t>334/17</t>
  </si>
  <si>
    <t>004932               011992            012052</t>
  </si>
  <si>
    <t>25,000                    41,000                    41,000</t>
  </si>
  <si>
    <t xml:space="preserve">Summons received on 09.08.2017 </t>
  </si>
  <si>
    <t>335/17</t>
  </si>
  <si>
    <t>005094              004704              012112</t>
  </si>
  <si>
    <t>41,000                          25,000                         41,000</t>
  </si>
  <si>
    <t>336/17</t>
  </si>
  <si>
    <t>Cheque No. 005040</t>
  </si>
  <si>
    <t>337/17</t>
  </si>
  <si>
    <t>004642        011932        004820</t>
  </si>
  <si>
    <t>25,000               41,000                   25,000</t>
  </si>
  <si>
    <t>M/S Jagjit Singh Saini and sons, Commission agent, Shop no. 85, New grain market, Jind through Chand Parkash Saini</t>
  </si>
  <si>
    <t>16.10.2017</t>
  </si>
  <si>
    <t>13.04.2018</t>
  </si>
  <si>
    <t>361/17</t>
  </si>
  <si>
    <t>Cheque No. 012545</t>
  </si>
  <si>
    <t>Summons received on 24.08.2017</t>
  </si>
  <si>
    <t>1. Best Foods Limited
2. Dinesh Gupta
3. Mahender Pal Jindal
4. Ajit Singh            5.Dinesh Gandhi          6.Ajay Kumar Vashishth</t>
  </si>
  <si>
    <t>M/s Suresh Kumar &amp; Sons, Commission  Agent, New Anaj Mandi, Jind Through Smt. Saroj Bala</t>
  </si>
  <si>
    <t>488/17</t>
  </si>
  <si>
    <t>Cheque no. 027909</t>
  </si>
  <si>
    <t>3,36,073.78</t>
  </si>
  <si>
    <t>Summons received on 29.08.2017</t>
  </si>
  <si>
    <t xml:space="preserve">1.Best Foods Ltd  2.Dinesh Gupta 3.Mahender Pal Jindal </t>
  </si>
  <si>
    <t>486/17</t>
  </si>
  <si>
    <t>Cheque no. 027879</t>
  </si>
  <si>
    <t>5,48,342.04</t>
  </si>
  <si>
    <t>M/S Chandi Ram Deepak Kumar, Commsission agent, New Anaj Mandi, Narwana distt Jind Through Guddi</t>
  </si>
  <si>
    <t>08.09.2017</t>
  </si>
  <si>
    <t>149/17</t>
  </si>
  <si>
    <t>Cheque no. 027519</t>
  </si>
  <si>
    <t>M/s Ami Lal Rameshwar Dass, Commission Agent, Shop No. 08, New Grain Market,  Jind through Ram Avtar</t>
  </si>
  <si>
    <t>29.09.2017</t>
  </si>
  <si>
    <t>342/17</t>
  </si>
  <si>
    <t>012521             028532</t>
  </si>
  <si>
    <t>2,47,336             1,11,301</t>
  </si>
  <si>
    <t>1. Best Foods Limited
2. Dinesh Gupta
3. Mahender Pal Jindal
4. Ajit Singh            5. Ajay Kumar Vashistha            6.Dinesh Gandhi</t>
  </si>
  <si>
    <t>510/17</t>
  </si>
  <si>
    <t>Cheque No. 027832</t>
  </si>
  <si>
    <t>11,25,960.95</t>
  </si>
  <si>
    <t xml:space="preserve">1. Best Foods Limited
2. Dinesh Gupta
3. Mahender Pal Jindal
4. Ajit Singh                 5. Ajay Kumar Vashistha          </t>
  </si>
  <si>
    <t>M/s Ram Avtar Trading Company, Commission Agent, Shop No. 08, New Grain Market, Jind Through Smt. Geeta Goyal</t>
  </si>
  <si>
    <t>343/17</t>
  </si>
  <si>
    <t>012579               028610</t>
  </si>
  <si>
    <t>1,61,848          72,832</t>
  </si>
  <si>
    <t>Awaited for High Court Order</t>
  </si>
  <si>
    <t>1. Best Foods Limited
2. Dinesh Gupta
3. Mahender Pal Jindal
4. Ajit Singh            5. Ajay Kumar Vashistha           6.Dinesh Gandhi</t>
  </si>
  <si>
    <t>07.11.2017</t>
  </si>
  <si>
    <t>634/17</t>
  </si>
  <si>
    <t>Cheque No. 028889</t>
  </si>
  <si>
    <t>3,06,872</t>
  </si>
  <si>
    <t>Summons received on 24.10.2017</t>
  </si>
  <si>
    <t>1. Best Foods Limited
2. Dinesh Gupta
3. Mahender Pal Jindal
4. Ajit Singh            5. Ajay Kumar Vashistha</t>
  </si>
  <si>
    <t>03.10.2017</t>
  </si>
  <si>
    <t>15.02.2018</t>
  </si>
  <si>
    <t>496/17</t>
  </si>
  <si>
    <t>Cheque No.  027824</t>
  </si>
  <si>
    <t xml:space="preserve">1.Best Foods Ltd  2.Mahender Pal Jindal 3.Dinesh Gupta            4.Ajit Singh 5.Dinesh Gandhi </t>
  </si>
  <si>
    <t xml:space="preserve"> M/S Gita Ram Ishwar Chand, Commission Agent, Anaj Mandi, Safidon Through Sh. Rajkumar</t>
  </si>
  <si>
    <t>11.10.2017</t>
  </si>
  <si>
    <t>06.04.2018</t>
  </si>
  <si>
    <t>304/17</t>
  </si>
  <si>
    <t>Cheque No. 012706</t>
  </si>
  <si>
    <t>5,00,000</t>
  </si>
  <si>
    <t>1. Best Foods ltd. 2. Mr. Mohinder Pal Jindal 3. Mr. Dinesh Gupta  4. Mr. Ajit Singh  5. Mr. Ajay Kumar   6. Potan</t>
  </si>
  <si>
    <t>M/S Gita Ram Ishwar Chand, Commission Agent, Anaj Mandi, Safidon  Through Sh.Pawan kumar</t>
  </si>
  <si>
    <t>07.04.2018</t>
  </si>
  <si>
    <t>305/17</t>
  </si>
  <si>
    <t>Cheque No. 012705</t>
  </si>
  <si>
    <t>23,00,000</t>
  </si>
  <si>
    <t>1. Best Foods ltd. 2. Mr. Mohinder Pal Jindal 3. Mr. Dinesh Gupta  4. Mr. Ajit Singh  5. Mr. Ajay Kumar   6. Mr. Potan</t>
  </si>
  <si>
    <t>M/s Arya Trading Co., Commission Agent, Shop no. 205, New Anaj Mandi, Panipat Through Sh. Sandeep</t>
  </si>
  <si>
    <t>2161/17</t>
  </si>
  <si>
    <t>Cheque No. 027699</t>
  </si>
  <si>
    <t>7,00,000</t>
  </si>
  <si>
    <t xml:space="preserve">1.Best Foods Ltd  2.Mahender Pal Jindal </t>
  </si>
  <si>
    <t>Deepak Sehrawat Adv. Mob-93157-00008</t>
  </si>
  <si>
    <t>13.11.2017</t>
  </si>
  <si>
    <t>557/17</t>
  </si>
  <si>
    <t>Cheque No. 027825</t>
  </si>
  <si>
    <t>4,00,934.49</t>
  </si>
  <si>
    <t>Summons received on 03.11.2017</t>
  </si>
  <si>
    <t>M/s Naresh Chand Manoj Kumar, Commission Agent, New Grain Market, Palwal Through Manoj Kumar</t>
  </si>
  <si>
    <t>06.10.2017</t>
  </si>
  <si>
    <t>643/17</t>
  </si>
  <si>
    <t>028086                            028088                       028090</t>
  </si>
  <si>
    <t>8,96,985                  8,96,985                8,96,985</t>
  </si>
  <si>
    <t>Parmod Kumar Aggarwa Adv, Mob-98120-44887</t>
  </si>
  <si>
    <t>Palwal</t>
  </si>
  <si>
    <t>M/s Jai Shiv Traders, Commsission agent, Shop No. 2, New Grain Market, Palwal through Anil Kumar</t>
  </si>
  <si>
    <t>06.11.2017</t>
  </si>
  <si>
    <t>21.02.2018</t>
  </si>
  <si>
    <t>636/17</t>
  </si>
  <si>
    <t>028278                028087                 028280</t>
  </si>
  <si>
    <t>1,17,614                         12,30,910                    1,17,613</t>
  </si>
  <si>
    <t>Summons received on 06.10.2017</t>
  </si>
  <si>
    <t>639/17</t>
  </si>
  <si>
    <t>028089             028091         028282</t>
  </si>
  <si>
    <t>12,30,910              12,30,910                1,17,614</t>
  </si>
  <si>
    <t>637/17</t>
  </si>
  <si>
    <t>028272           028020           028274</t>
  </si>
  <si>
    <t>1,17,613                              12,30,910                    1,17,614</t>
  </si>
  <si>
    <t>638/17</t>
  </si>
  <si>
    <t>028083          028276        028085</t>
  </si>
  <si>
    <t>12,30,910              1,17,613                     12,30,910</t>
  </si>
  <si>
    <t>M/S Jagjit Singh Saini and sons, Commission agent, Shop no. 85, New grain market Rohtak road, Jind through Chand parkash Saini</t>
  </si>
  <si>
    <t>578/17</t>
  </si>
  <si>
    <t>Cheque no. 028563</t>
  </si>
  <si>
    <t>Summons received on 07.10.2017</t>
  </si>
  <si>
    <t>1. Best Foods Limited               2. Dinesh Gupta              3. Mahender Pal Jindal               4. Ajay kumar vashishth                        5. Ajit Singh            6.Dinesh Gandhi</t>
  </si>
  <si>
    <t>M/s Raghbir Singh Balwan Singh, Commission agent, shop No. 194, New Grain Market, Jind Through Balwan singh</t>
  </si>
  <si>
    <t>487/17</t>
  </si>
  <si>
    <t>Cheque no. 027877</t>
  </si>
  <si>
    <t>4,00,289.36</t>
  </si>
  <si>
    <t>05.12.2017</t>
  </si>
  <si>
    <t>537/17</t>
  </si>
  <si>
    <t>Cheque no. 027890</t>
  </si>
  <si>
    <t>1. Best Foods Limited
2. Dinesh Gupta
3. Mahender Pal Jindal
4. Rajiv Harjai      5. Dinesh Gandhi</t>
  </si>
  <si>
    <t>Surender Redhu Advocate Jind</t>
  </si>
  <si>
    <t>02.12.2017</t>
  </si>
  <si>
    <t>798/17</t>
  </si>
  <si>
    <t>Cheque no. 027990</t>
  </si>
  <si>
    <t>Summons not received</t>
  </si>
  <si>
    <t>M/s Sandhu Trading Co., Commission Agent, New Grain Market, Jind Through Sh. Satyawan</t>
  </si>
  <si>
    <t>13.10.2017</t>
  </si>
  <si>
    <t>392/17</t>
  </si>
  <si>
    <t>Cheque no. 028632</t>
  </si>
  <si>
    <t>3,46,810</t>
  </si>
  <si>
    <t>M/s Prabhu Dayal Tara Chand, Shop No. 3, 2597, 3rd Floor, Kanha Bhawan, Nai Basti, Naya Bazar, Delhi 110006 Through Dev Kumar</t>
  </si>
  <si>
    <t>CRA/513/17</t>
  </si>
  <si>
    <t>Criminal Appeal Filed In Court of Sh. Ashu Kr. Jain and Summons received on 23.10.2017</t>
  </si>
  <si>
    <t>Sh. Rakesh Chaudhary</t>
  </si>
  <si>
    <t>Ashok Kapoor Advocate Karnal</t>
  </si>
  <si>
    <t>Karnal</t>
  </si>
  <si>
    <t>CRA/517/17</t>
  </si>
  <si>
    <t>Sh. Inder Singh</t>
  </si>
  <si>
    <t>CRA/518/17</t>
  </si>
  <si>
    <t>CRA/514/17</t>
  </si>
  <si>
    <t>CRA/516/17</t>
  </si>
  <si>
    <t>CRA/515/17</t>
  </si>
  <si>
    <t>Satkar Logistic Pvt. Ltd.</t>
  </si>
  <si>
    <t>12.09.2017</t>
  </si>
  <si>
    <t>07.02.2018</t>
  </si>
  <si>
    <t>CT-Cases/2773/17</t>
  </si>
  <si>
    <t>Ms. Swati Gupta Metropolitan Magistrate, South East, Delhi</t>
  </si>
  <si>
    <t>1.Best Foods Ltd  2.Dinesh Gupta 3.Mahender Pal Jindal       4. Ajay Kumar Vashistha</t>
  </si>
  <si>
    <t>Delhi</t>
  </si>
  <si>
    <t>642/17</t>
  </si>
  <si>
    <t>028019              028082         028084</t>
  </si>
  <si>
    <t>8,96,985                  8,96,985                   8,96,985</t>
  </si>
  <si>
    <t>519/17</t>
  </si>
  <si>
    <t>Cheque No. 027872</t>
  </si>
  <si>
    <t>1,51,745</t>
  </si>
  <si>
    <t>Summons received for appearance</t>
  </si>
  <si>
    <t>1. Best Foods Limited
2. Dinesh Gupta
3. Mahender Pal Jindal
4. Rajiv Harjai      5. Ajit Singh</t>
  </si>
  <si>
    <t>21.11.2017</t>
  </si>
  <si>
    <t>115/17</t>
  </si>
  <si>
    <t>Cheque No. 024960</t>
  </si>
  <si>
    <t>20,01,735.28</t>
  </si>
  <si>
    <t>M/s Ghangas Trading Co., Shop No-246, Anaj Mandi, Panipat Through Sh. Shamsher Singh</t>
  </si>
  <si>
    <t>01.02.2018</t>
  </si>
  <si>
    <t>2085/17</t>
  </si>
  <si>
    <t xml:space="preserve">027701    027710 </t>
  </si>
  <si>
    <t>2,00,000          2,06,517</t>
  </si>
  <si>
    <t>1. Best Foods Limited
2. Dinesh Gupta
3. Mahender Pal Jindal              4. Dinesh Gandhi</t>
  </si>
  <si>
    <t>Ravinder Kundu Adv. Ch. 64-65, Mob-94165-64699</t>
  </si>
  <si>
    <t>M/s Parbhu Ram Halwant Singh, Shop N0-253, New Anaj Mandi, Panipat</t>
  </si>
  <si>
    <t>03.02.2018</t>
  </si>
  <si>
    <t>11.06.2018</t>
  </si>
  <si>
    <t>2029/17</t>
  </si>
  <si>
    <t>Cheque No. 027702</t>
  </si>
  <si>
    <t>6,00,000</t>
  </si>
  <si>
    <t>M/s Harshit Trading Co., Shop N0-246, New Anaj Mandi, Panipat Through Sh.Balram Singh</t>
  </si>
  <si>
    <t>2086/17</t>
  </si>
  <si>
    <t>Cheque no. 027709</t>
  </si>
  <si>
    <t>1,10,722</t>
  </si>
  <si>
    <t>1. Best Foods Limited
2. Dinesh Gandhi                               3. Dinesh Gupta                             4. Rishi Raj Sharma</t>
  </si>
  <si>
    <t>M/s Bijender Singh and Sons, Shop No-269, New Anaj Mandi, Panipat Through Ms. Sushila</t>
  </si>
  <si>
    <t>2098/17</t>
  </si>
  <si>
    <t>Cheque No. 0227700</t>
  </si>
  <si>
    <t>1. Best Foods Limited
2. Dinesh Gupta
3. Mahender Pal Jindal
4. Ajit Singh                    5. Potan</t>
  </si>
  <si>
    <t>IFCI Ltd. Through Its Authorized representative, IFCI Tower, 61, Nehru Place, New Delhi</t>
  </si>
  <si>
    <t>14.02.2018</t>
  </si>
  <si>
    <t>48328/16</t>
  </si>
  <si>
    <t>1,17,94,521.00</t>
  </si>
  <si>
    <t>Ms Manisha Tripathy, MM-3, Patiala House Court, New Delhi</t>
  </si>
  <si>
    <t>1. Best foods Ltd. 2. Sh. Mahinder Pal Jindal   3. Sh. Dinesh Gupta    4. Ms. Poonam Gupta           5. Ajit singh  6. Sh. Jagdish Chander Gupta  7. Vijay Kumar Gupta    8. Raj Kumar Goel  9. Sunil Kumar Sharma</t>
  </si>
  <si>
    <t>48327/16</t>
  </si>
  <si>
    <t>1,21,87,671.00</t>
  </si>
  <si>
    <t>M/s Best Deal Housing &amp; Construction Pvt. Ltd., Sector-29, Chandigarh-Hisar highway, Kaithal Through Samer</t>
  </si>
  <si>
    <t>17.11.2017</t>
  </si>
  <si>
    <t>29.05.2018</t>
  </si>
  <si>
    <t>CS/1374/17</t>
  </si>
  <si>
    <t>Sh. Amit Sharma L'd Civil Judge (S.D) Kaithal</t>
  </si>
  <si>
    <t>1. M/s IFCI Limited        2. Ms. C.   Santhi                                3. M/s Best foods Ltd.</t>
  </si>
  <si>
    <t>Kaithal</t>
  </si>
  <si>
    <t>339/17</t>
  </si>
  <si>
    <t>Cheque No. 012586</t>
  </si>
  <si>
    <t>Bailable warrant issued for Accused no. 2 and 4</t>
  </si>
  <si>
    <t>341/17</t>
  </si>
  <si>
    <t>Cheque No. 028638</t>
  </si>
  <si>
    <t>2,62,414</t>
  </si>
  <si>
    <t>Bailable warrant issued for Accused no. 2</t>
  </si>
  <si>
    <t>M/s Ruliya Ram Jagdish Chand, Commission agent, shop No. 96, New Grain Market Madlauda Mandi panipat</t>
  </si>
  <si>
    <t>07.05.2018</t>
  </si>
  <si>
    <t>2605/17</t>
  </si>
  <si>
    <t>28.10.2017</t>
  </si>
  <si>
    <t>16.05.2018</t>
  </si>
  <si>
    <t>1594/17</t>
  </si>
  <si>
    <t>Warrant received on 15.11.2017</t>
  </si>
  <si>
    <t>1. Mohinder Pal Jindal</t>
  </si>
  <si>
    <t>M/s Ram Sarup Dass Ratti Ram, Commission Agent, New Anaj Mandi, Narwana Through Sh. Rajesh Kumar</t>
  </si>
  <si>
    <t>21.12.2017</t>
  </si>
  <si>
    <t>231/17</t>
  </si>
  <si>
    <t>025004                      027547</t>
  </si>
  <si>
    <t>40386.08                              1912</t>
  </si>
  <si>
    <t>M/s Ram Mehar Singh Sachin Kumar, Commission Agent, Shop No. 95, New Anaj Mandi, Jind Through Ram Mehar Singh</t>
  </si>
  <si>
    <t>476/17</t>
  </si>
  <si>
    <t>Cheque No. 027855</t>
  </si>
  <si>
    <t>2,26,963.39</t>
  </si>
  <si>
    <t>Summons received on 07.11.2017</t>
  </si>
  <si>
    <t>1. Best foods International Pvt. Ltd.           2. Mahender Pal           3. Dinesh Gupta           4. Ajit Singh                           5. Rajiv Harjai</t>
  </si>
  <si>
    <t>06.12.2017</t>
  </si>
  <si>
    <t>Cheque No. 027822</t>
  </si>
  <si>
    <t>2,33,595.30</t>
  </si>
  <si>
    <t>1. Best foods International Pvt. Ltd.           2. Dinesh Gupta     3. Mahender Pal                  4. Ajay Kumar Vashistha                              5. Ajit Singh                           7. Rajiv Harjai</t>
  </si>
  <si>
    <t>M/s Gulshan Kumar Rajesh Kumar, Resident of 36, Nai Anaj Mandi, Gharaunda, Distt. Karnal Through Sh. Uggarsain</t>
  </si>
  <si>
    <t>2813/17</t>
  </si>
  <si>
    <t>028863              026937</t>
  </si>
  <si>
    <t>40,000                                29,822.28</t>
  </si>
  <si>
    <t>Summons received on 10.11.2017</t>
  </si>
  <si>
    <t>1. M/s Best foods ltd.                2. Mohinder Pal            3. Dinesh Gupta                       4. Rohit Kumar                   5. Sunil Kumar</t>
  </si>
  <si>
    <t>M/s Kartar Dayee Enterprises, Shop No. 16, Anaj Mandi, Pehowa Through Sh. Amarjit Singh</t>
  </si>
  <si>
    <t>21.03.2018</t>
  </si>
  <si>
    <t>258/17</t>
  </si>
  <si>
    <t>Cheque No. 027044</t>
  </si>
  <si>
    <t>1. M/s Best foods ltd.                 2. Rishi Raj Sharma</t>
  </si>
  <si>
    <t>Pehowa</t>
  </si>
  <si>
    <t>M/s Ram Parkash Vajinder Kumar, Shop No. 17, Anaj Mandi, Pehowa Through Sh. Vajinder Kumar</t>
  </si>
  <si>
    <t>209/17</t>
  </si>
  <si>
    <t>Cheque No. 134004</t>
  </si>
  <si>
    <t>1. M/s Best foods ltd.                 2. Mahinder Pal</t>
  </si>
  <si>
    <t>19.12.2017</t>
  </si>
  <si>
    <t>720/17</t>
  </si>
  <si>
    <t>Cheque No. 027973</t>
  </si>
  <si>
    <t>3,37,301.34</t>
  </si>
  <si>
    <t>Summons received on 14.11.2017</t>
  </si>
  <si>
    <t>1. M/s Best foods ltd.                 2. Dinesh Gupta                                 3. Mahinder Pal</t>
  </si>
  <si>
    <t>M/s Hari Ram Jagat Singh, Commission Agent, Shop No. 148-B, New Anaj Mandi, Jind Through Sh. Ishwar Singh</t>
  </si>
  <si>
    <t>533/17</t>
  </si>
  <si>
    <t>Cheque No. 028561</t>
  </si>
  <si>
    <t>1. Best foods Ltd.           2. Mahender Pal           3. Dinesh Gupta           4. Ajit Singh                           5. Rajiv Harjai</t>
  </si>
  <si>
    <t>Parshant Sahu Adv. Chamber No-97292-23363 Jind</t>
  </si>
  <si>
    <t>Sahil Trading Co., Commission Agent, Shop No. 148-B, New Anaj Mandi, Jind Through Sh. Virender Singh</t>
  </si>
  <si>
    <t>Cheque No. 027891</t>
  </si>
  <si>
    <t>1. Best foods Ltd.           2. Mahender Pal           3. Dinesh Gupta           4.Rajiv Harjai                 5. Ajit Singh</t>
  </si>
  <si>
    <t>M/s Chaudhary Commission Agent, Shop no. 74, New Grain Market, Jind Through Sh. Satish Kumar</t>
  </si>
  <si>
    <t>320/17</t>
  </si>
  <si>
    <t>Cheque No. 028545</t>
  </si>
  <si>
    <t>1. M/s Best foods ltd.                 2. Mahinder Pal              3. Dinesh Gupta</t>
  </si>
  <si>
    <t>327/17</t>
  </si>
  <si>
    <t>Cheque No. 012530</t>
  </si>
  <si>
    <t>M/s Vikas Enterprises, Commission Agent, Shop No. 147, New Anaj Mandi, Jind Through Sh. Vikas</t>
  </si>
  <si>
    <t>02.01.2018</t>
  </si>
  <si>
    <t>646/17</t>
  </si>
  <si>
    <t>Cheque No. 027914</t>
  </si>
  <si>
    <t>1,17,733.50</t>
  </si>
  <si>
    <t>Summons received on 28.11.2017</t>
  </si>
  <si>
    <t xml:space="preserve">1. Best foods Ltd.           2. Mahender Pal           3. Dinesh Gupta                      4. Ajit Singh                              5.Rajiv Harjai  </t>
  </si>
  <si>
    <t>547/17</t>
  </si>
  <si>
    <t>Cheque no. 027889</t>
  </si>
  <si>
    <t>648/17</t>
  </si>
  <si>
    <t>Cheque No. 027893</t>
  </si>
  <si>
    <t>2,80,526.45</t>
  </si>
  <si>
    <t>M/s Mani Ram Prem Chand, Commission Agent, Shop No. 10, New Anaj Mandi, Gharaunda Through Sh. Rajesh Kumar</t>
  </si>
  <si>
    <t>19.02.2018</t>
  </si>
  <si>
    <t>3025/17</t>
  </si>
  <si>
    <t>Cheque No. 028856</t>
  </si>
  <si>
    <t>Summons received on 07.12.2017</t>
  </si>
  <si>
    <t>1. Rohit                              2. Sunil Kumar                    3. Dinesh Gupta</t>
  </si>
  <si>
    <t>3026/17</t>
  </si>
  <si>
    <t>Cheque No. 026930</t>
  </si>
  <si>
    <t>M/s Satpal Sindhu Nitish Kumar, Shop No. 107, New Grain Market, Jind Through Sh. Satpal Sindhu</t>
  </si>
  <si>
    <t>367/17</t>
  </si>
  <si>
    <t>012588                              028650</t>
  </si>
  <si>
    <t>1,65,520                             74,484</t>
  </si>
  <si>
    <t>Summons received on 11.12.2017</t>
  </si>
  <si>
    <t>1. Best foods Ltd.           2. Mahender Pal           3. Dinesh Gupta</t>
  </si>
  <si>
    <t>Parveen Kumar Lather Advocate, Jind</t>
  </si>
  <si>
    <t>503/17</t>
  </si>
  <si>
    <t>Cheque No. 027878</t>
  </si>
  <si>
    <t>4,44,806.39</t>
  </si>
  <si>
    <t>Summons received on 19.12.2017</t>
  </si>
  <si>
    <t xml:space="preserve">Suresh Kumar Garg, Chamber No. 34, Jind,  M-9416060165 </t>
  </si>
  <si>
    <t>M/s Hazura Singh Bhim Singh, Shop No. 131, New Grain Market, Jind Through Sh. Raj Kumar</t>
  </si>
  <si>
    <t>506/17</t>
  </si>
  <si>
    <t>Cheque No. 027844</t>
  </si>
  <si>
    <t>3,09,273.31</t>
  </si>
  <si>
    <t>23.01.2018</t>
  </si>
  <si>
    <t>766/17</t>
  </si>
  <si>
    <t>Cheque No. 027984</t>
  </si>
  <si>
    <t>1,52,856.58</t>
  </si>
  <si>
    <t>1. Best foods Ltd.           2. Dinesh Gupta                  3. Mahender Pal            4. Ajay Kumar Vashistha                                     5. Ajit Singh                           6. Rajiv Harjai</t>
  </si>
  <si>
    <t>M/s Tirupati balaji Traders, shop No. 72, New Grain Market, Jind Through Smt Poonam Kharb</t>
  </si>
  <si>
    <t>328/17</t>
  </si>
  <si>
    <t>Cheque No. 012605</t>
  </si>
  <si>
    <t>1,17,255</t>
  </si>
  <si>
    <t>Summons received on 16.12.2017</t>
  </si>
  <si>
    <t>1. M/s Best foods Ltd.</t>
  </si>
  <si>
    <t>Rajiv Kumar, Chamber No-45, Jind Ph-97291-75582</t>
  </si>
  <si>
    <t>321/17</t>
  </si>
  <si>
    <t>Cheque No. 028643</t>
  </si>
  <si>
    <t>M/s Ram Chand Amir Chand, Commission agent, Shop No. 49-A, New Anaj Mandi, Rania, Distt. Sirsa</t>
  </si>
  <si>
    <t>22.01.2018</t>
  </si>
  <si>
    <t>1235/17</t>
  </si>
  <si>
    <t>Cheque No. 027023</t>
  </si>
  <si>
    <t>5,19,744.17</t>
  </si>
  <si>
    <t>Summons received on 20.12.2017</t>
  </si>
  <si>
    <t>1. Best foods Ltd.           2. Dinesh Gupta                  3. Rohit</t>
  </si>
  <si>
    <t xml:space="preserve">Sat Paul Makkar Adv. </t>
  </si>
  <si>
    <t>Sirsa</t>
  </si>
  <si>
    <t>Om Parkash and Sons, Commission Agent, Shop No. 23-E, New Anaj Mandi, Rania Distt Sirsa Through Sh. Rakesh Kumar</t>
  </si>
  <si>
    <t>Cheque No. 027020</t>
  </si>
  <si>
    <t>2,28,266.49</t>
  </si>
  <si>
    <t>Summons received on 26.12.2017</t>
  </si>
  <si>
    <t>Bahiya Commission Agent, Shop No. 97, New Anaj Mandi, Rania Distt Sirsa Through Sh. Ashok Kumar</t>
  </si>
  <si>
    <t>Cheque No. 027014</t>
  </si>
  <si>
    <t>2,60,522</t>
  </si>
  <si>
    <t>M/s Om Sai Ram Trading Co., Shop No. 109, Nai Anaj Mandi, Gharaunda, Distt. Karnal Through Sh. Dinesh Kumar</t>
  </si>
  <si>
    <t>3265/17</t>
  </si>
  <si>
    <t>028875                             029256</t>
  </si>
  <si>
    <t>60,000                         48,361.86</t>
  </si>
  <si>
    <t>Summons received on 05.01.2018</t>
  </si>
  <si>
    <t>1. Best foods Ltd.           2. Mahender Pal           3. Dinesh Gupta             4. Rohit</t>
  </si>
  <si>
    <t>Devender Kumar Gupta Adv. Mob-94664-20603</t>
  </si>
  <si>
    <t>11.01.2018</t>
  </si>
  <si>
    <t>647/17</t>
  </si>
  <si>
    <t>Cheque No. 027875</t>
  </si>
  <si>
    <t>Summons received on 06.01.2018</t>
  </si>
  <si>
    <t>M/s Chander Singh Abhimanu, Commission Agent, Shop No. 136, New Anaj Mandi, Gohana, Distt. Sonepat Through Sh. Abhimanu</t>
  </si>
  <si>
    <t>CS/45/2017</t>
  </si>
  <si>
    <t>Suit For recovery</t>
  </si>
  <si>
    <t>4,82,103.95</t>
  </si>
  <si>
    <t>1. Best foods Ltd.           2. Mahender Pal</t>
  </si>
  <si>
    <t>S.S Miglani Advocate</t>
  </si>
  <si>
    <t>Mamta Gupta W/o Sanjay Gupta D/o Mahinder Pal Jindal, R/o 987/13, Urban Estate, Karnal</t>
  </si>
  <si>
    <t>05.02.2018</t>
  </si>
  <si>
    <t>Suit For Declaration</t>
  </si>
  <si>
    <t>Registration No. 1047 Dated 31.03.2015</t>
  </si>
  <si>
    <t>1. Dinesh Gupta           2. Rajni Goyal                   3. Madhu Garg</t>
  </si>
  <si>
    <t>Pawan Kumar S/o Sh. Om Parkash R/o Village Naurta, Tehsil Indri, Karnal</t>
  </si>
  <si>
    <t>15.01.2018</t>
  </si>
  <si>
    <t>CS/6/2018</t>
  </si>
  <si>
    <t>Suit for Mandatory Injunction</t>
  </si>
  <si>
    <t>1. State of Haryana               2. Executive Engineer                         3. Sub Divisional Engineer                   4. M/s Best Foods Ltd.</t>
  </si>
  <si>
    <t>Indri</t>
  </si>
  <si>
    <t>860/17</t>
  </si>
  <si>
    <t>Cheque No. 027979</t>
  </si>
  <si>
    <t>Summons received on 15.01.2018</t>
  </si>
  <si>
    <t>1. Best foods ltd.                 2. Dinesh Gupta                                 3. Mahinder Pal</t>
  </si>
  <si>
    <t>M/s Suresh Kumar &amp; Sons, Commission  Agent, Shop No. 161,New Anaj Mandi, Jind Through Smt. Saroj Bala</t>
  </si>
  <si>
    <t>Cheque No. 028009</t>
  </si>
  <si>
    <t>M/s Pehowa Trading Co., Commission Agent, Anaj Mandi, Pehowa, Distt. Kurukshetra Through Sh. Satpal</t>
  </si>
  <si>
    <t>259/17</t>
  </si>
  <si>
    <t>Cheque No. 134001</t>
  </si>
  <si>
    <t>1,12,398</t>
  </si>
  <si>
    <t>Naresh K Bhargava adv Kurukshetra Mob. No. 9416268971</t>
  </si>
  <si>
    <t>M/s Ram Sarup Hari Narain, Shop No. 16, Anaj Mandi, Pehowa, Distt. Kurukshetra Through Sh. Hari Narain</t>
  </si>
  <si>
    <t>02.02.2018</t>
  </si>
  <si>
    <t>07.03.2018</t>
  </si>
  <si>
    <t>215/17</t>
  </si>
  <si>
    <t>Cheque No. 027764</t>
  </si>
  <si>
    <t>Summons received on 16.01.2018</t>
  </si>
  <si>
    <t>1. Best foods ltd.                 2. Dinesh Gupta</t>
  </si>
  <si>
    <t>Deepak Mehta Adv. Mob-94165-68264      72066-45030</t>
  </si>
  <si>
    <t>M/s Ramesh Chand Pardeep Kumar, Shop No. 16, Anaj Mandi, Pehowa, Distt. Kurukshetra Through Sh. Ramesh Chand</t>
  </si>
  <si>
    <t>214/17</t>
  </si>
  <si>
    <t>Cheque No. 027765</t>
  </si>
  <si>
    <t>M/s Ram Krishan Vinod Kumar, Shop No. 118, New Anaj Mandi, Gharaunda, Distt. Karnal Through Sh. Vinod Kumar</t>
  </si>
  <si>
    <t>24.04.2018</t>
  </si>
  <si>
    <t>3540/17</t>
  </si>
  <si>
    <t>028870                         029251</t>
  </si>
  <si>
    <t>50.000                            35,000</t>
  </si>
  <si>
    <t>Summons received on 17.01.2018</t>
  </si>
  <si>
    <t>1. Best foods Ltd.           2. Mahender Pal           3. Dinesh Gupta                      4. Rohit Kumar                              5. Sunil Kumar</t>
  </si>
  <si>
    <t>M/s Satyawan Krishan Kumar, Shop No. 51-A, Nai Anaj Mandi, Gharaunda, Distt. Karnal Through Sh. Satbir Singh</t>
  </si>
  <si>
    <t>3539/17</t>
  </si>
  <si>
    <t>028864                            026938</t>
  </si>
  <si>
    <t>40,000                         30,000</t>
  </si>
  <si>
    <t>M/s Shree Krishna Trading Co., Shop No. 154, New Grain Market, Jind Through Sh. Sandeep</t>
  </si>
  <si>
    <t>805/17</t>
  </si>
  <si>
    <t>Cheque No. 027998</t>
  </si>
  <si>
    <t>Summons received on 19.01.2018</t>
  </si>
  <si>
    <t>1. Best foods Ltd.           2. Mahender Pal           3. Dinesh Gupta                      4. Dinesh Gandhi                              5. Rajiv Harjai</t>
  </si>
  <si>
    <t>Sukhwinder Sheokand Advocate Mob. 8930376302</t>
  </si>
  <si>
    <t>M/s Babaji Trading Co., Commission Agent, Shop No. 88-A, Anaj Mandi, Pehowa Distt. Kurukshetra Through Sh. Roshan Singh</t>
  </si>
  <si>
    <t>242/17</t>
  </si>
  <si>
    <t>027752                     027130</t>
  </si>
  <si>
    <t>50,000                         50,000</t>
  </si>
  <si>
    <t>Summons received on 23.01.2018</t>
  </si>
  <si>
    <t>1. Best foods Ltd.           2. Dinesh Gupta             3.  Mahender Pal                     4. Ajit Singh                5. Ajay Kumar Vashistha                                     6. Potan</t>
  </si>
  <si>
    <t>Ashwani Kumar Goel Adv. Kaithal              Mob. 9813789369</t>
  </si>
  <si>
    <t>M/s Robin Trading Co., Commission Agent, Shop No. 8, Anaj Mandi, Pehowa Distt. Kurukshetra Through Sh. Mam Chand</t>
  </si>
  <si>
    <t>240/17</t>
  </si>
  <si>
    <t>Cheque No. 027138</t>
  </si>
  <si>
    <t>M/s Deepak Enterprises, Shop No. 110, New Grain Market, Jind Through Sh. Wazir Singh</t>
  </si>
  <si>
    <t>803/17</t>
  </si>
  <si>
    <t>Cheque No. 027935</t>
  </si>
  <si>
    <t>2,16,639.73</t>
  </si>
  <si>
    <t>Summons received on 30.01.2018</t>
  </si>
  <si>
    <t>Rajiv Kumar Advocate Chamber No-45,Cont. 9729175582</t>
  </si>
  <si>
    <t>M/s Chaudhary Trading Co., Shop No. 74, New Grain Market, Jind Through Sh. Satish Kumar</t>
  </si>
  <si>
    <t>802/17</t>
  </si>
  <si>
    <t>Cheque No. 027931</t>
  </si>
  <si>
    <t>2,77,198.54</t>
  </si>
  <si>
    <t>M/s Deepak Trading Co., Shop No. 111, New Grain Market, Jind Through Sh. Ram Sarup</t>
  </si>
  <si>
    <t>804/17</t>
  </si>
  <si>
    <t>Cheque No. 027936</t>
  </si>
  <si>
    <t>3,18,191.64</t>
  </si>
  <si>
    <t>M/s Baldev Singh Amrik Singh, Commission Agent, Shop no. 65, Anaj Mandi, Pehowa Distt Kurukshetra Through Sh. Jogi Ram</t>
  </si>
  <si>
    <t>241/17</t>
  </si>
  <si>
    <t>Cheque No. 133992</t>
  </si>
  <si>
    <t>1,12,357</t>
  </si>
  <si>
    <t>Summons received on 05.02.2018</t>
  </si>
  <si>
    <t>M/s Naib Singh Jarnail Singh, Commission Agent, Shop No. 32, Anaj Mandi, Pehowa Distt. Kurukshetra Through Sh. Jai Singh</t>
  </si>
  <si>
    <t>243/17</t>
  </si>
  <si>
    <t>133999                              027756</t>
  </si>
  <si>
    <t>80,000                               1,00,000</t>
  </si>
  <si>
    <t>ases against best foods ltd. related to 138 Ni Act and Civil Suit pending in various court.</t>
  </si>
  <si>
    <t>Next Hearing Date</t>
  </si>
  <si>
    <t>Name of Judicary or Tribunal</t>
  </si>
  <si>
    <t xml:space="preserve">Case No. </t>
  </si>
  <si>
    <t>DLA Piper Singapore PTE Ltd</t>
  </si>
  <si>
    <t>19th February, 2018</t>
  </si>
  <si>
    <t>Hon'ble Justice Mr. Monmohan</t>
  </si>
  <si>
    <t>IFCI Limited</t>
  </si>
  <si>
    <t>2nd Floor, PNB House, Zonal Office</t>
  </si>
  <si>
    <t>Sector - 17B, Chandigarh - 160017</t>
  </si>
  <si>
    <t>Group M Media India Private Limited</t>
  </si>
  <si>
    <t>Hon'ble Justice Mr S J Kathawala</t>
  </si>
  <si>
    <t>Versus</t>
  </si>
  <si>
    <t>STATUS</t>
  </si>
  <si>
    <t>AMOUNT</t>
  </si>
  <si>
    <t>Estimated Amount</t>
  </si>
  <si>
    <t xml:space="preserve"> land measuring 10 M(302.50 sq.vards) situated opp.Radha Swami Satsang Bhawan,Indri</t>
  </si>
  <si>
    <t xml:space="preserve"> land measuring 15 kanal khewat 107, Khatoni No.122,Khasara No.17/20/1,18/15,16/1,17/1,23/22/5 at Village Norta ,Indri</t>
  </si>
  <si>
    <t>commercial land 68 K 3 M bearing Khewat No. 29 Min.khatoni No. 54 min.Kila no. 20/6 (1k2m),21/3/4(0-16),8(7k9m),9(7k12m),10(8K 0m),11(7k 0m),12(7K 12m),13(8k0m),18(8k0m),19(7k 12m),20(5k 0m),sale deed no. 4903/1 dt 29.08.08 Village Nangal Khurd Tehsil &amp; Distt.Sonepat.</t>
  </si>
  <si>
    <t xml:space="preserve">agriculure land (CLU obtained) measuring 197 K 17 M khewat No.59.46.50.47.54 at village Darar and khewat No.83.85.81 of village kurali, Distt.Karnal </t>
  </si>
  <si>
    <t xml:space="preserve"> agriculture land measuring 29K 13 M khewat no.69 khatoni No.106, khasra No. 21/19(6K3m),22(8k 8m),23(8k0m),27/1/3/1 (2k 0m),2/1(5K 2m) at village Gadhi Gurjan,Tehsil Indri District Karnal,(Non SARFASI compliant , lien marked in revenue records)</t>
  </si>
  <si>
    <t xml:space="preserve"> agriculture land measuring 166 K 9 M vide sale deed no.1922 dated 14.01.2010, sale deed no. 2021 dated 27.01.2010 sale deed no. 297 dated 17.05.2010 bearing kila no. 16/1,10.11.20.17/14.4.5.6, 7.14.15.16.17, kila no.13/8,9/2,11/2.12.13.14.15, kila no. 6/2/2/3, 8.7.4/4,6/1,6//3.3 and kila no. 6//2/2/1.4/1.6//3/1 (part) kila no.6/2/4/3 and kila no. 6/2/2/1,4/1.6/3/1 (Part),kila no. 6//2/2/2,4/2,2/2/1.4/1.3/1. 6//3/2 at village Norta, Indri Distt Karnal</t>
  </si>
  <si>
    <t xml:space="preserve"> godown measuring 4840 sq yds Khasra no.440.441/1 at extended Lal Dora Abadi Village Hamidpur , Delhi </t>
  </si>
  <si>
    <t>Industrial Plot measuring 32K 10M Khasra No. 42/1643/20,22,60/2 min.43/19min.Khewat No.59 Khatoni No.96-99 at Rabka Village Darar Tehsil Indri Distt.</t>
  </si>
  <si>
    <t xml:space="preserve"> Agricultural Land (CLU obtained )-0.6875 Acres (5K-10M) Khewat /Khatoni No. 140/158.159, Khasra No.14//19 min(5K-4M),20/1/1(1K-9M),Khasra No.14//19 min Norta (4K-0M)village Norta , Karnal</t>
  </si>
  <si>
    <t>Agricultural Land (CLU obtained)-6.09375 Acres (48K-16M),Khewat/Khotni No.138/156,khasra no.14/11(4K-16M),20/1/1(1K-9M):Khewat/Khotni No.139/157,Khasra No.14/20/1/2(1K-13 M): Khewat /Khatoni No. 140/158,159,Khasra No.14//19min (5K-4M),14//19 min north (4K-0M): Khewat/Khatoni No.167/191,Khasra No.13//16(8K-0M),14//20/2(4K-18M),21(8K-0M)22(8K-0M),23/1(2K-16M),2/1/1(0K-8M),Village Norta Karnal</t>
  </si>
  <si>
    <t>Agricultural Land (CLU obtained)-2.04375 Acres (16K-7M) Khewat/Khatoni no.138/156.Khasra No.14//11(4K-16M),20/1/1(1K-9M),Khewat/Khatoni No, 137/155. Khasra No.14//18 (3K-15)M1.23/2. (5K-4M)24(3K-14M)village Norta. Karnal</t>
  </si>
  <si>
    <t>Agriculture Land (CLU obtained) measuring 2K-3M being 261/2196 share of 1.8K-06M in Khewat No.196 Khatoni no.224,225 Khasra No.16 '.3( 8-0).16. I4(8-0 ) 5(2-6). Kitta-3 at Village Norta.,Tehsil Indri, Distt. Karnal vide Sale deed No. 1319/1 dt. 19.0.8.2011</t>
  </si>
  <si>
    <t>Agriculture Land (CLU obtained) measuring 9K-8M in Khewat No. 170, Khatoni No.194. Khasta No. 12//25/2/1(0-3.). 25/2/2(1-6), 131/21/1(5-6). 21/2(2-13). Kittas 4 at Village Norta. Tehsil Indri. Distt. Karnal vide Sale deed No. 4562' dt 09.09.2011.</t>
  </si>
  <si>
    <t xml:space="preserve"> Agriculture Land (CLU obtained): measuring 5K-4M being 626/966 share of 8K-1M comprised in Khewat No.267. Khasra No.16/17/1(4-0), 611(4-1). Kittas 2 at VillageNorta, Tehsil Indri, Distt. Karnal vide Sale deed No. 1320/1 ,dt. 19.08..2011.</t>
  </si>
  <si>
    <t>Agriculture Land (CLU obtained):measuring 17K-14M being 5671/13440 share of 42K-OM comprised in Khewat No.74. Khatoni No.85. Khasra No. 17/1(8-0). 2(8-0). 9(8- . 27.05.13 0). 10(8-0). I 81/5(4-8), 6(5-12). Kitta 6 at Village Norta.Tehsil Indri, Distt. Karnal vide Sale deed No. 4560,1 dt. 09.09.20.11.</t>
  </si>
  <si>
    <t>Agriculture Land (CLU obtained) measuring 21K-10M being 1742/3360 share of 41 K-9M comprised in KnovatNo.74. Khatoni No.85. Khasra No. 1 7/: 118-0). 2(8.0). C:118- 27.05.13 Of 10(8-0). 18115. min east (3-17). 6(5-12i. pitta` 6 at Village Norta Tehsil Indri Distt Karnal vide sale deed no 7440/1 dt. 22.12.2011</t>
  </si>
  <si>
    <t>Agriculture Land (CLU obtained) 17K-17M comprised in in Khewat No.47. Khatoni No.60. Khasra No.7'.'25/2(4-0). 14111(8-0). 151/5(5-4). 6( 0-13). Kitta-4 at Ghisarpuri. Tehsil Indri. Distt. Karnal N•de Sale deed No. 7031/1 dt. 14.11.2011.</t>
  </si>
  <si>
    <t xml:space="preserve"> Agriculture land (CLU obtained)measuring 15K-2M as under 14K-15M being 19/20 share of 15K-1M comprised in khewat No.13,Khasra No.6.5(8-0),6.2(7-11).kitta-2 at 10k-7M being 133/400 share of 1K-0M comprised in khewat No.13 Khasra No. 6//2/2/1,3/1,4/1 , Kitta -3 situated at Village Ghisarpuri Tehsil Indri,Distt.Karnal vide Sale deed No.4564/1 dt.09.09.2011</t>
  </si>
  <si>
    <t>Commercial Office measuring total area 5124.22 Sq. Meter Unit No. 502. D-Mali. Plot No. A-L Neta ji Subhash Place.Pitampura, Delhi Sale Deed No. 8878 Dated 04.05.2012</t>
  </si>
  <si>
    <t xml:space="preserve"> factory land ana building measuring 31 kanal 13 Marta ofMis Bharat Rice Mill. Nona. Indri. Proprietor Sh. MohinderPal Jindal. Deed no. 1246/1 dt. 19.02.81 &amp; 30/1 dt.10 04.2000</t>
  </si>
  <si>
    <t>Building</t>
  </si>
  <si>
    <t>Asset description</t>
  </si>
  <si>
    <t>Enter a name for the asset in this field</t>
  </si>
  <si>
    <t>FACTORY BUILDING3132004</t>
  </si>
  <si>
    <t>FACTORY BUILDING342004</t>
  </si>
  <si>
    <t>FACTORY BUILDING842004</t>
  </si>
  <si>
    <t>FACTORY BUILDING942004</t>
  </si>
  <si>
    <t>FACTORY BUILDING352004</t>
  </si>
  <si>
    <t>FACTORY BUILDING2252004</t>
  </si>
  <si>
    <t>FACTORY BUILDING2452004</t>
  </si>
  <si>
    <t>FACTORY BUILDING1962004</t>
  </si>
  <si>
    <t>FACTORY BUILDING572004</t>
  </si>
  <si>
    <t>FACTORY BUILDING672004</t>
  </si>
  <si>
    <t>FACTORY BUILDING772004</t>
  </si>
  <si>
    <t>FACTORY BUILDING872004</t>
  </si>
  <si>
    <t>FACTORY BUILDING1972004</t>
  </si>
  <si>
    <t>FACTORY BUILDING2472004</t>
  </si>
  <si>
    <t>FACTORY BUILDING2672004</t>
  </si>
  <si>
    <t>FACTORY BUILDING282004</t>
  </si>
  <si>
    <t>FACTORY BUILDING582004</t>
  </si>
  <si>
    <t>FACTORY BUILDING782004</t>
  </si>
  <si>
    <t>FACTORY BUILDING1082004</t>
  </si>
  <si>
    <t>FACTORY BUILDING1682004</t>
  </si>
  <si>
    <t>FACTORY BUILDING1782004</t>
  </si>
  <si>
    <t>FACTORY BUILDING1882004</t>
  </si>
  <si>
    <t>FACTORY BUILDING1982004</t>
  </si>
  <si>
    <t>FACTORY BUILDING2282004</t>
  </si>
  <si>
    <t>FACTORY BUILDING2682004</t>
  </si>
  <si>
    <t>FACTORY BUILDING2782004</t>
  </si>
  <si>
    <t>FACTORY BUILDING2882004</t>
  </si>
  <si>
    <t>FACTORY BUILDING3082004</t>
  </si>
  <si>
    <t>FACTORY BUILDING3182004</t>
  </si>
  <si>
    <t>FACTORY BUILDING192004</t>
  </si>
  <si>
    <t>FACTORY BUILDING592004</t>
  </si>
  <si>
    <t>FACTORY BUILDING692004</t>
  </si>
  <si>
    <t>FACTORY BUILDING892004</t>
  </si>
  <si>
    <t>FACTORY BUILDING1092004</t>
  </si>
  <si>
    <t>FACTORY BUILDING1192004</t>
  </si>
  <si>
    <t>FACTORY BUILDING1392004</t>
  </si>
  <si>
    <t>FACTORY BUILDING1492004</t>
  </si>
  <si>
    <t>FACTORY BUILDING1592004</t>
  </si>
  <si>
    <t>FACTORY BUILDING1692004</t>
  </si>
  <si>
    <t>FACTORY BUILDING1792004</t>
  </si>
  <si>
    <t>FACTORY BUILDING1892004</t>
  </si>
  <si>
    <t>FACTORY BUILDING2092004</t>
  </si>
  <si>
    <t>FACTORY BUILDING2492004</t>
  </si>
  <si>
    <t>FACTORY BUILDING2592004</t>
  </si>
  <si>
    <t>FACTORY BUILDING2892004</t>
  </si>
  <si>
    <t>FACTORY BUILDING2992004</t>
  </si>
  <si>
    <t>FACTORY BUILDING3092004</t>
  </si>
  <si>
    <t>FACTORY BUILDING1102004</t>
  </si>
  <si>
    <t>FACTORY BUILDING2102004</t>
  </si>
  <si>
    <t>FACTORY BUILDING4102004</t>
  </si>
  <si>
    <t>FACTORY BUILDING5102004</t>
  </si>
  <si>
    <t>FACTORY BUILDING6102004</t>
  </si>
  <si>
    <t>FACTORY BUILDING8102004</t>
  </si>
  <si>
    <t>FACTORY BUILDING9102004</t>
  </si>
  <si>
    <t>FACTORY BUILDING10102004</t>
  </si>
  <si>
    <t>FACTORY BUILDING11102004</t>
  </si>
  <si>
    <t>FACTORY BUILDING13102004</t>
  </si>
  <si>
    <t>FACTORY BUILDING14102004</t>
  </si>
  <si>
    <t>FACTORY BUILDING16102004</t>
  </si>
  <si>
    <t>FACTORY BUILDING19102004</t>
  </si>
  <si>
    <t>FACTORY BUILDING20102004</t>
  </si>
  <si>
    <t>FACTORY BUILDING22102004</t>
  </si>
  <si>
    <t>FACTORY BUILDING24102004</t>
  </si>
  <si>
    <t>FACTORY BUILDING26102004</t>
  </si>
  <si>
    <t>FACTORY BUILDING27102004</t>
  </si>
  <si>
    <t>FACTORY BUILDING30102004</t>
  </si>
  <si>
    <t>FACTORY BUILDING1112004</t>
  </si>
  <si>
    <t>FACTORY BUILDING3112004</t>
  </si>
  <si>
    <t>FACTORY BUILDING4112004</t>
  </si>
  <si>
    <t>FACTORY BUILDING6112004</t>
  </si>
  <si>
    <t>FACTORY BUILDING8112004</t>
  </si>
  <si>
    <t>FACTORY BUILDING14112004</t>
  </si>
  <si>
    <t>FACTORY BUILDING18112004</t>
  </si>
  <si>
    <t>FACTORY BUILDING24112004</t>
  </si>
  <si>
    <t>FACTORY BUILDING25112004</t>
  </si>
  <si>
    <t>FACTORY BUILDING26112004</t>
  </si>
  <si>
    <t>FACTORY BUILDING27112004</t>
  </si>
  <si>
    <t>FACTORY BUILDING1122004</t>
  </si>
  <si>
    <t>FACTORY BUILDING3122004</t>
  </si>
  <si>
    <t>FACTORY BUILDING10122004</t>
  </si>
  <si>
    <t>FACTORY BUILDING11122004</t>
  </si>
  <si>
    <t>FACTORY BUILDING14122004</t>
  </si>
  <si>
    <t>FACTORY BUILDING16122004</t>
  </si>
  <si>
    <t>FACTORY BUILDING17122004</t>
  </si>
  <si>
    <t>FACTORY BUILDING22122004</t>
  </si>
  <si>
    <t>FACTORY BUILDING23122004</t>
  </si>
  <si>
    <t>FACTORY BUILDING24122004</t>
  </si>
  <si>
    <t>FACTORY BUILDING25122004</t>
  </si>
  <si>
    <t>FACTORY BUILDING30122004</t>
  </si>
  <si>
    <t>FACTORY BUILDING312005</t>
  </si>
  <si>
    <t>FACTORY BUILDING512005</t>
  </si>
  <si>
    <t>FACTORY BUILDING812005</t>
  </si>
  <si>
    <t>FACTORY BUILDING1012005</t>
  </si>
  <si>
    <t>FACTORY BUILDING1512005</t>
  </si>
  <si>
    <t>FACTORY BUILDING1812005</t>
  </si>
  <si>
    <t>FACTORY BUILDING422005</t>
  </si>
  <si>
    <t>FACTORY BUILDING1422005</t>
  </si>
  <si>
    <t>FACTORY BUILDING1722005</t>
  </si>
  <si>
    <t>FACTORY BUILDING1922005</t>
  </si>
  <si>
    <t>FACTORY BUILDING2822005</t>
  </si>
  <si>
    <t>FACTORY BUILDING732005</t>
  </si>
  <si>
    <t>FACTORY BUILDING832005</t>
  </si>
  <si>
    <t>FACTORY BUILDING2232005</t>
  </si>
  <si>
    <t>FACTORY BUILDING2332005</t>
  </si>
  <si>
    <t>FACTORY BUILDING2532005</t>
  </si>
  <si>
    <t>FACTORY BUILDING3032005</t>
  </si>
  <si>
    <t>FACTORY BUILDING3132005</t>
  </si>
  <si>
    <t>FACTORY BUILDING2822006</t>
  </si>
  <si>
    <t>FACTORY BUILDING132007</t>
  </si>
  <si>
    <t>FACTORY BUILDING12102007</t>
  </si>
  <si>
    <t>FACTORY BUILDING2922008</t>
  </si>
  <si>
    <t>FACTORY BUILDING3012009</t>
  </si>
  <si>
    <t>FACTORY BUILDING3042009</t>
  </si>
  <si>
    <t>FACTORY BUILDING1682009</t>
  </si>
  <si>
    <t>FACTORY BUILDING1992009</t>
  </si>
  <si>
    <t>FACTORY BUILDING1112010</t>
  </si>
  <si>
    <t>FACTORY BUILDING1622010</t>
  </si>
  <si>
    <t xml:space="preserve">FACTORY BUILDING DARAR </t>
  </si>
  <si>
    <t>FACTORY BUILDING3152010</t>
  </si>
  <si>
    <t xml:space="preserve">ADM. BUILDING DELHI </t>
  </si>
  <si>
    <t>ADM. BUILDING INDRI</t>
  </si>
  <si>
    <t>FACTORY BUILDING2822011</t>
  </si>
  <si>
    <t>FACTORY BUILDING DARAR (GOLA OUTSIDE GODOWN )</t>
  </si>
  <si>
    <t>FACTORY BUILDING DARAR</t>
  </si>
  <si>
    <t>GODOWN (GOLA OUTSIDE GODOWN)</t>
  </si>
  <si>
    <t xml:space="preserve">GODOWN </t>
  </si>
  <si>
    <t xml:space="preserve">FACTORY ROAD </t>
  </si>
  <si>
    <t>ADM. BUILDING DELHI</t>
  </si>
  <si>
    <t>FACTORY BUILDING1022013</t>
  </si>
  <si>
    <t>FACTORY BUILDING632013</t>
  </si>
  <si>
    <t>FACTORY BUILDING142013</t>
  </si>
  <si>
    <t>FACTORY ROAD</t>
  </si>
  <si>
    <t xml:space="preserve">FACTORY PARABOILING BUILDING </t>
  </si>
  <si>
    <t>FACTORY BUILDING FFS</t>
  </si>
  <si>
    <t>URINAL PROJECT</t>
  </si>
  <si>
    <t>Asset capitalization date</t>
  </si>
  <si>
    <t>The system enters the asset value date of the first posting that results in the capitalization of the asset in this field</t>
  </si>
  <si>
    <t>Planned useful life in years</t>
  </si>
  <si>
    <t>Useful life (in years) over which the asset is to be used and depreciated.</t>
  </si>
  <si>
    <t>Closing WDV as on 31 March 2017</t>
  </si>
  <si>
    <t>FURNITURE  FACTORY OFFICE INDRI</t>
  </si>
  <si>
    <t xml:space="preserve">FURNITURE  DELHI OFFICE </t>
  </si>
  <si>
    <t>Furniture</t>
  </si>
  <si>
    <t>UPS</t>
  </si>
  <si>
    <t>Asset main number text</t>
  </si>
  <si>
    <t>In this field, you can enter any desired name for an asset main number. The text is then used, for example, in reporting, and in the display values transaction when accessing totals per asset main number.</t>
  </si>
  <si>
    <t>GENERATOR</t>
  </si>
  <si>
    <t>KANDA</t>
  </si>
  <si>
    <t>MISCELLANEOUS ASSETS</t>
  </si>
  <si>
    <t>PLANT &amp; MACHINERY</t>
  </si>
  <si>
    <t>TIRPAL</t>
  </si>
  <si>
    <t>LAB EQUIPMENT</t>
  </si>
  <si>
    <t>CARRATE</t>
  </si>
  <si>
    <t xml:space="preserve">ETP PLANT </t>
  </si>
  <si>
    <t>BULDOZER</t>
  </si>
  <si>
    <t>machinary</t>
  </si>
  <si>
    <t>VACCUUM MACHINE</t>
  </si>
  <si>
    <t xml:space="preserve">PLANT &amp; MACHINERY TURBINE </t>
  </si>
  <si>
    <t>PLANT &amp; MACHINEY 25 TPH</t>
  </si>
  <si>
    <t>PLANT &amp; MACHINERY (12)</t>
  </si>
  <si>
    <t>LEVELLER</t>
  </si>
  <si>
    <t xml:space="preserve">SOLVENT PLANT </t>
  </si>
  <si>
    <t>FFS</t>
  </si>
  <si>
    <t>PLANT &amp; MACHINERY-12</t>
  </si>
  <si>
    <t>FFS PLANT</t>
  </si>
  <si>
    <t>Quantity</t>
  </si>
  <si>
    <t>Quantity that the system manages on the asset</t>
  </si>
  <si>
    <t xml:space="preserve">COMPUTER HARDWARE </t>
  </si>
  <si>
    <t>COMPUTER HARDWARE</t>
  </si>
  <si>
    <t>COMPUTER HARDWARE1612010</t>
  </si>
  <si>
    <t>MOUSE</t>
  </si>
  <si>
    <t>MOUSE1662006</t>
  </si>
  <si>
    <t>COMPUTER HARDWARE22122008</t>
  </si>
  <si>
    <t>COMPUTER HARDWARE2642009</t>
  </si>
  <si>
    <t>COMPUTER HARDWARE3172006</t>
  </si>
  <si>
    <t>COMPUTER HARDWARE612012</t>
  </si>
  <si>
    <t>UPS472006</t>
  </si>
  <si>
    <t>COMPUTER HARDWARE532008</t>
  </si>
  <si>
    <t>PRINTER</t>
  </si>
  <si>
    <t>PRINTER3052012</t>
  </si>
  <si>
    <t>UPS25102006</t>
  </si>
  <si>
    <t>COMPUTER HARDWARE16112011</t>
  </si>
  <si>
    <t>UPS12112007</t>
  </si>
  <si>
    <t>COMPUTER HARDWARE7112011</t>
  </si>
  <si>
    <t>COMPUTER HARDWARE21112009</t>
  </si>
  <si>
    <t>HP PRINTER AIO 1050</t>
  </si>
  <si>
    <t>HP PRINTER AIO 10502772011</t>
  </si>
  <si>
    <t>HP DESKJET 1050 S.NO. :- CN12L37NWF</t>
  </si>
  <si>
    <t>HP DESKJET 1050 S.NO. :- CN12L37NWF12102011</t>
  </si>
  <si>
    <t xml:space="preserve">PRINTER             </t>
  </si>
  <si>
    <t>PRINTER             2692010</t>
  </si>
  <si>
    <t>COMPUTER HARDWARE30112011</t>
  </si>
  <si>
    <t>HP PRINTER</t>
  </si>
  <si>
    <t>HP PRINTER2642009</t>
  </si>
  <si>
    <t>COMPUTER HARDWARE31122011</t>
  </si>
  <si>
    <t>HANDHELD SCANNER MOTOROLA SCAN</t>
  </si>
  <si>
    <t>HANDHELD SCANNER MOTOROLA SCAN2162014</t>
  </si>
  <si>
    <t>COMPUTER HARDWARE472009</t>
  </si>
  <si>
    <t>HP 4488 DESKJET PRINTER</t>
  </si>
  <si>
    <t>HP 4488 DESKJET PRINTER1822010</t>
  </si>
  <si>
    <t>COMPUTER HARDWARE23122008</t>
  </si>
  <si>
    <t>UPS APC 600VA</t>
  </si>
  <si>
    <t>UPS APC 600VA482009</t>
  </si>
  <si>
    <t>COMPUTER HARDWARE2032012</t>
  </si>
  <si>
    <t xml:space="preserve">COMPUTER SOFTWARE </t>
  </si>
  <si>
    <t>SOFTWARE</t>
  </si>
  <si>
    <t>SOFTWARE3062012</t>
  </si>
  <si>
    <t>ANTIVIRUS SOFTWARE</t>
  </si>
  <si>
    <t>ANTIVIRUS SOFTWARE5122008</t>
  </si>
  <si>
    <t>HP PRINTER 3744 &amp; UPS 600</t>
  </si>
  <si>
    <t>HP PRINTER 3744 &amp; UPS 6002662006</t>
  </si>
  <si>
    <t>PRINTER1422008</t>
  </si>
  <si>
    <t>PRINTER AND TONER</t>
  </si>
  <si>
    <t>PRINTER AND TONER2622008</t>
  </si>
  <si>
    <t>HP PRINTER 1020</t>
  </si>
  <si>
    <t>HP PRINTER 10202242011</t>
  </si>
  <si>
    <t xml:space="preserve">CANON PRINTER </t>
  </si>
  <si>
    <t>CANON PRINTER 31102011</t>
  </si>
  <si>
    <t>COMPUTER HARDWARE462011</t>
  </si>
  <si>
    <t>PRINTER             9102010</t>
  </si>
  <si>
    <t>TELLY SOFTWARE</t>
  </si>
  <si>
    <t>TELLY SOFTWARE11102007</t>
  </si>
  <si>
    <t>TELLY SOFTWARE2472007</t>
  </si>
  <si>
    <t>CARCODE SCANNER 8250</t>
  </si>
  <si>
    <t>CARCODE SCANNER 82502282009</t>
  </si>
  <si>
    <t>SOFTWARE2662012</t>
  </si>
  <si>
    <t>PRINTER CANON LBP 2900</t>
  </si>
  <si>
    <t>PRINTER CANON LBP 29001232014</t>
  </si>
  <si>
    <t>COMPUTER HARDWARE1792009</t>
  </si>
  <si>
    <t>PRINTER1552013</t>
  </si>
  <si>
    <t>DOT MATRIX PRINTER
MODEL NO. TVSC MSP-240</t>
  </si>
  <si>
    <t>DOT MATRIX PRINTER
MODEL NO. TVSC MSP-2401832010</t>
  </si>
  <si>
    <t>CANON LASER PRINTER SHOTLBP 2900B
SR.NO MBGA345810</t>
  </si>
  <si>
    <t>CANON LASER PRINTER SHOTLBP 2900B
SR.NO MBGA3458106102009</t>
  </si>
  <si>
    <t>HP 1020 PRINTER</t>
  </si>
  <si>
    <t>HP 1020 PRINTER1862012</t>
  </si>
  <si>
    <t>HP-DESKJET INK ADVANTAGE 2520</t>
  </si>
  <si>
    <t>HP-DESKJET INK ADVANTAGE 25202182014</t>
  </si>
  <si>
    <t>HP DJK-2093</t>
  </si>
  <si>
    <t>HP DJK-20931152012</t>
  </si>
  <si>
    <t>PRINTER2552007</t>
  </si>
  <si>
    <t>PRINTER CANNON 2990</t>
  </si>
  <si>
    <t>PRINTER CANNON 2990542013</t>
  </si>
  <si>
    <t>PRINTER742013</t>
  </si>
  <si>
    <t>COMPUTER HARDWARE282008</t>
  </si>
  <si>
    <t xml:space="preserve">PRINTER </t>
  </si>
  <si>
    <t>PRINTER 3032011</t>
  </si>
  <si>
    <t>PRINTER K2090</t>
  </si>
  <si>
    <t>PRINTER K20903032011</t>
  </si>
  <si>
    <t>TELLY SOFTWARE372007</t>
  </si>
  <si>
    <t>PRINTER2632008</t>
  </si>
  <si>
    <t>PRINTER3132008</t>
  </si>
  <si>
    <t>HP DESKJET 4355 (ALL IN ONE) PRINTER, FAX, COPY</t>
  </si>
  <si>
    <t>HP DESKJET 4355 (ALL IN ONE) PRINTER, FAX, COPY3072008</t>
  </si>
  <si>
    <t>TELLY SOFTWARE1732010</t>
  </si>
  <si>
    <t>PRINTER112007</t>
  </si>
  <si>
    <t>HP LASERJET PRINTER</t>
  </si>
  <si>
    <t>HP LASERJET PRINTER152006</t>
  </si>
  <si>
    <t>TELLY SOFTWARE2042009</t>
  </si>
  <si>
    <t>COMPUTER HARDWARE3132011</t>
  </si>
  <si>
    <t>COMPUTER HARDWARE482009</t>
  </si>
  <si>
    <t>TELLY SOFTWARE182007</t>
  </si>
  <si>
    <t>COMPUTER HARDWARE532010</t>
  </si>
  <si>
    <t>COMPUTER HARDWARE12102006</t>
  </si>
  <si>
    <t>COMPUTER HARDWARE15102011</t>
  </si>
  <si>
    <t>ATS RENEWAL SOFTWARE</t>
  </si>
  <si>
    <t>ATS RENEWAL SOFTWARE2052009</t>
  </si>
  <si>
    <t xml:space="preserve">FOODGRAIN SOFTWARE MODUEL </t>
  </si>
  <si>
    <t>FOODGRAIN SOFTWARE MODUEL 2022007</t>
  </si>
  <si>
    <t>COMPUTER HARDWARE2392009</t>
  </si>
  <si>
    <t>FOODGRAIN SOFTWARE</t>
  </si>
  <si>
    <t>FOODGRAIN SOFTWARE1192006</t>
  </si>
  <si>
    <t>COMPUTER HARDWARE682011</t>
  </si>
  <si>
    <t>ANTIVIRUS SOFTWARE1102009</t>
  </si>
  <si>
    <t>THERMAL PRINTER BSC-10</t>
  </si>
  <si>
    <t>THERMAL PRINTER BSC-10262014</t>
  </si>
  <si>
    <t>COMPUTER HARDWARE1252011</t>
  </si>
  <si>
    <t>UPS 2 KVA</t>
  </si>
  <si>
    <t>UPS 2 KVA12102011</t>
  </si>
  <si>
    <t>HP PRINTER 10201952011</t>
  </si>
  <si>
    <t>COMPUTER HARDWARE1732011</t>
  </si>
  <si>
    <t>HP LASERJET PRINTER MODEL NO. :- M1005MFP S.NO. :- CNG8CDG4Z9</t>
  </si>
  <si>
    <t>HP LASERJET PRINTER MODEL NO. :- M1005MFP S.NO. :- CNG8CDG4Z91322012</t>
  </si>
  <si>
    <t>CANON ZEROX MACHINE 4320D</t>
  </si>
  <si>
    <t>CANON ZEROX MACHINE 4320D17122010</t>
  </si>
  <si>
    <t>FOODGRAIN SOFTWARE MODUEL 2232007</t>
  </si>
  <si>
    <t>COMPUTER HARDWARE25122010</t>
  </si>
  <si>
    <t>PRINTER HP LASER JET 1005</t>
  </si>
  <si>
    <t>PRINTER HP LASER JET 10051022014</t>
  </si>
  <si>
    <t>HP LASER JET (1007) PRINTER</t>
  </si>
  <si>
    <t>HP LASER JET (1007) PRINTER1632009</t>
  </si>
  <si>
    <t>COMPUTER HARDWARE2922012</t>
  </si>
  <si>
    <t xml:space="preserve">PRINTER &amp; UPS    </t>
  </si>
  <si>
    <t>PRINTER &amp; UPS    8112012</t>
  </si>
  <si>
    <t>TELLY SOFTWARE2882009</t>
  </si>
  <si>
    <t>TELLY SOFTWARE3182007</t>
  </si>
  <si>
    <t>PRINTER CANNON ICMF-</t>
  </si>
  <si>
    <t>PRINTER CANNON ICMF-1262010</t>
  </si>
  <si>
    <t>CANON DIGITAL MF 4320D
SR. NO. EMT56805</t>
  </si>
  <si>
    <t>CANON DIGITAL MF 4320D
SR. NO. EMT568051662010</t>
  </si>
  <si>
    <t>PRINTER3132012</t>
  </si>
  <si>
    <t>SAMSUNG LAZER JET 4521 PRINTER</t>
  </si>
  <si>
    <t>SAMSUNG LAZER JET 4521 PRINTER3042012</t>
  </si>
  <si>
    <t>TELLY SOFTWARE30102007</t>
  </si>
  <si>
    <t>CANON LASER PRINTER</t>
  </si>
  <si>
    <t>CANON LASER PRINTER14102009</t>
  </si>
  <si>
    <t xml:space="preserve">HP COLOUR PRINTER        </t>
  </si>
  <si>
    <t>HP COLOUR PRINTER        22102012</t>
  </si>
  <si>
    <t>HP G4010 SCANNER S.NO. :- CN9C8A600M</t>
  </si>
  <si>
    <t>HP G4010 SCANNER S.NO. :- CN9C8A600M3172010</t>
  </si>
  <si>
    <t>COMPUTER HARDWARE2692007</t>
  </si>
  <si>
    <t>ANTIVIRUS SOFTWARE2182009</t>
  </si>
  <si>
    <t>ANTIVIRUS SOFTWARE1492009</t>
  </si>
  <si>
    <t>CANON PRINTER,PHOTO COPY, SCANNER &amp; PRINTER S/NO. ECD63203</t>
  </si>
  <si>
    <t>CANON PRINTER,PHOTO COPY, SCANNER &amp; PRINTER S/NO. ECD6320330122010</t>
  </si>
  <si>
    <t>DESKTOP COMPUTER</t>
  </si>
  <si>
    <t>DESKTOP COMPUTER142003</t>
  </si>
  <si>
    <t>HCL DESKTOP</t>
  </si>
  <si>
    <t>HCL DESKTOP1142011</t>
  </si>
  <si>
    <t>UPS1892008</t>
  </si>
  <si>
    <t>CANON PRINTER  MODEL NO. :- 4450 D</t>
  </si>
  <si>
    <t>CANON PRINTER  MODEL NO. :- 4450 D31122011</t>
  </si>
  <si>
    <t>TELLY SOFTWARE1952007</t>
  </si>
  <si>
    <t>HP PRINTER1822013</t>
  </si>
  <si>
    <t>COMPUTER HARDWARE712013</t>
  </si>
  <si>
    <t>BIOMETRIC TIME ATTENDANCE READER</t>
  </si>
  <si>
    <t>BIOMETRIC TIME ATTENDANCE READER3062010</t>
  </si>
  <si>
    <t>BIOMETRIC TIME ATTENDANCE READER3092010</t>
  </si>
  <si>
    <t>ZEROX MACHINE
CANON DIGITAL MF4350D
S.NO :- ELD73465</t>
  </si>
  <si>
    <t>ZEROX MACHINE
CANON DIGITAL MF4350D
S.NO :- ELD734652632011</t>
  </si>
  <si>
    <t>CANON PRINTER  MODEL NO. :- 4450 D3112012</t>
  </si>
  <si>
    <t>TELLY SOFTWARE1452007</t>
  </si>
  <si>
    <t>HCL COMPUTER
SERIAL NO. 1111AA618260</t>
  </si>
  <si>
    <t>HCL COMPUTER
SERIAL NO. 1111AA6182601822011</t>
  </si>
  <si>
    <t>CANON 2900B LASERJET PRINTER</t>
  </si>
  <si>
    <t>CANON 2900B LASERJET PRINTER442009</t>
  </si>
  <si>
    <t>PRINTER1182007</t>
  </si>
  <si>
    <t>CANON FAX MACHINE JX-210P
S/N. ABLT04400,04403,04397</t>
  </si>
  <si>
    <t>CANON FAX MACHINE JX-210P
S/N. ABLT04400,04403,0439712102009</t>
  </si>
  <si>
    <t>PRINTER11112011</t>
  </si>
  <si>
    <t>COMPUTER HARDWARE2192011</t>
  </si>
  <si>
    <t>ACER VERITON DESKTOP S.NO. :- AWK420T431B098849IE</t>
  </si>
  <si>
    <t>ACER VERITON DESKTOP S.NO. :- AWK420T431B098849IE1462011</t>
  </si>
  <si>
    <t>PRINTER2092007</t>
  </si>
  <si>
    <t>DESKTOP COMPUTER662008</t>
  </si>
  <si>
    <t>SAMSUNG LASERJET SCX4321 PRINTER</t>
  </si>
  <si>
    <t>SAMSUNG LASERJET SCX4321 PRINTER2562012</t>
  </si>
  <si>
    <t>DESKTOP COMPUTER1852006</t>
  </si>
  <si>
    <t>SAVIOR WEB SOFTWARE</t>
  </si>
  <si>
    <t>SAVIOR WEB SOFTWARE162014</t>
  </si>
  <si>
    <t>COMPUTER HARDWARE712012</t>
  </si>
  <si>
    <t>DESKTOP COMPUTER1192009</t>
  </si>
  <si>
    <t>COMPUTER HARDWARE522008</t>
  </si>
  <si>
    <t>COMPUTER HARDWARE3042009</t>
  </si>
  <si>
    <t>COMPUTER,UPS,MONITOR</t>
  </si>
  <si>
    <t>COMPUTER,UPS,MONITOR20122007</t>
  </si>
  <si>
    <t>COMPUTER HARDWARE1032008</t>
  </si>
  <si>
    <t>DELL VOSTRO 1015 SERIAL TAG NO. :- CJ8GRQ1</t>
  </si>
  <si>
    <t>DELL VOSTRO 1015 SERIAL TAG NO. :- CJ8GRQ13182011</t>
  </si>
  <si>
    <t>DELL VOSTRO 1014 S.NO. :- 5S9TRO1</t>
  </si>
  <si>
    <t>DELL VOSTRO 1014 S.NO. :- 5S9TRO11592011</t>
  </si>
  <si>
    <t>DELL VOSTRO 1015 SERVICE TAG NO. :- FJXP0Q1</t>
  </si>
  <si>
    <t>DELL VOSTRO 1015 SERVICE TAG NO. :- FJXP0Q11862011</t>
  </si>
  <si>
    <t>COMPUTER HARDWARE11102007</t>
  </si>
  <si>
    <t>DELL VOSTRO 1015</t>
  </si>
  <si>
    <t>DELL VOSTRO 1015662011</t>
  </si>
  <si>
    <t>COMPUTER HARDWARE3102007</t>
  </si>
  <si>
    <t>DELL OPTIPLEX GX-270</t>
  </si>
  <si>
    <t>DELL OPTIPLEX GX-2701892011</t>
  </si>
  <si>
    <t>DELL OPTIPLEX GX-27024112011</t>
  </si>
  <si>
    <t>DESKTOP COMPUTER552007</t>
  </si>
  <si>
    <t xml:space="preserve">COMPUTER HARDWARE AND NETWORKING </t>
  </si>
  <si>
    <t>COMPUTER HARDWARE AND NETWORKING 1962008</t>
  </si>
  <si>
    <t>DELL VOSTRO 1015 SERIAL TAG NO. :- B85H291</t>
  </si>
  <si>
    <t>DELL VOSTRO 1015 SERIAL TAG NO. :- B85H2912772011</t>
  </si>
  <si>
    <t>HP COMPAQ 510 COMMERCIAL LAPTOP S/NO.CNU9350FW3</t>
  </si>
  <si>
    <t>HP COMPAQ 510 COMMERCIAL LAPTOP S/NO.CNU9350FW31772010</t>
  </si>
  <si>
    <t>HP COMPAQ 510 COMMERCIAL LAPTOP S/NO-CNU9350FCS</t>
  </si>
  <si>
    <t>HP COMPAQ 510 COMMERCIAL LAPTOP S/NO-CNU9350FCS2472010</t>
  </si>
  <si>
    <t>COMPUTER HARDWARE19102011</t>
  </si>
  <si>
    <t>DELL OPTIPLEX GX-2702982011</t>
  </si>
  <si>
    <t>DESKTOP COMPUTER27122003</t>
  </si>
  <si>
    <t>DESKTOP COMPUTER12112007</t>
  </si>
  <si>
    <t>DESKTOP COMPUTER10112006</t>
  </si>
  <si>
    <t>COMPUTER HARDWARE22112006</t>
  </si>
  <si>
    <t>DELL OPTIPLEX GX-2708112011</t>
  </si>
  <si>
    <t>COMPUTER AND UPS</t>
  </si>
  <si>
    <t>COMPUTER AND UPS1432008</t>
  </si>
  <si>
    <t>CANON PRINTER LBP 2900 MONO LASER PRINTER, COMPUTER HARDWARE</t>
  </si>
  <si>
    <t>CANON PRINTER LBP 2900 MONO LASER PRINTER, COMPUTER HARDWARE482009</t>
  </si>
  <si>
    <t>DESKTOP COMPUTER2132005</t>
  </si>
  <si>
    <t>HP COMPAQ D260 COMPUTER</t>
  </si>
  <si>
    <t>HP COMPAQ D260 COMPUTER1982005</t>
  </si>
  <si>
    <t>DELL VOSTRO 1014 S.NO. :- 3Y6G7PI</t>
  </si>
  <si>
    <t>DELL VOSTRO 1014 S.NO. :- 3Y6G7PI2242011</t>
  </si>
  <si>
    <t>DELL VOSTRO 1014</t>
  </si>
  <si>
    <t>DELL VOSTRO 10142642011</t>
  </si>
  <si>
    <t xml:space="preserve">SAP IMPLEMENTATION </t>
  </si>
  <si>
    <t>SAP IMPLEMENTATION 31102013</t>
  </si>
  <si>
    <t>LAPTOP VOSTRO 1014
MAKE :- DELL
WITH 3 GB RAM
S.NO. :- 19KTRN1</t>
  </si>
  <si>
    <t>LAPTOP VOSTRO 1014
MAKE :- DELL
WITH 3 GB RAM
S.NO. :- 19KTRN110122010</t>
  </si>
  <si>
    <t>COMPUTER AND UPS672006</t>
  </si>
  <si>
    <t>IBM COMPUTER, UPS,LAN</t>
  </si>
  <si>
    <t>IBM COMPUTER, UPS,LAN552006</t>
  </si>
  <si>
    <t>DESKTOP COMPUTER19102006</t>
  </si>
  <si>
    <t>LAPTOP HP PRO BOOK 4530S</t>
  </si>
  <si>
    <t>LAPTOP HP PRO BOOK 4530S31102011</t>
  </si>
  <si>
    <t>LAPTOP HP PRO S.NO. :- CNU12931C93</t>
  </si>
  <si>
    <t>LAPTOP HP PRO S.NO. :- CNU12931C931592011</t>
  </si>
  <si>
    <t xml:space="preserve">HP LAPTOP </t>
  </si>
  <si>
    <t>HP LAPTOP 1792011</t>
  </si>
  <si>
    <t>LAPTOP VOSTRO 1014
MAKE :- DELL
WITH 3 GB RAM
S.NO. :- 6DGSDN1</t>
  </si>
  <si>
    <t>LAPTOP VOSTRO 1014
MAKE :- DELL
WITH 3 GB RAM
S.NO. :- 6DGSDN12822011</t>
  </si>
  <si>
    <t>DELL VASTRO LAPTOP 1014 S/NO.DSYPDN1</t>
  </si>
  <si>
    <t>DELL VASTRO LAPTOP 1014 S/NO.DSYPDN131102010</t>
  </si>
  <si>
    <t>LAPTOP SONY VAIO MODEL NO.:- VPCEH25</t>
  </si>
  <si>
    <t>LAPTOP SONY VAIO MODEL NO.:- VPCEH256122011</t>
  </si>
  <si>
    <t>CANON PRINTER MF4350D SR.NO. ELD31845</t>
  </si>
  <si>
    <t>CANON PRINTER MF4350D SR.NO. ELD318451542010</t>
  </si>
  <si>
    <t>COMPUTER HARDWARE1842007</t>
  </si>
  <si>
    <t>WEIGH BRIDGE SOFTWARE</t>
  </si>
  <si>
    <t>WEIGH BRIDGE SOFTWARE552007</t>
  </si>
  <si>
    <t>HCL INFINITY LAPTOP 9100</t>
  </si>
  <si>
    <t>HCL INFINITY LAPTOP 91002832010</t>
  </si>
  <si>
    <t>HCL INFINITY POWERLITE 9100BT S/NO. 9093X083847</t>
  </si>
  <si>
    <t>HCL INFINITY POWERLITE 9100BT S/NO. 9093X0838472832010</t>
  </si>
  <si>
    <t>DESKTOP COMPUTER532010</t>
  </si>
  <si>
    <t>HCL INFINITI LAPTOP 9100 BT
SL.NO. 4093A1361591</t>
  </si>
  <si>
    <t>HCL INFINITI LAPTOP 9100 BT
SL.NO. 4093A13615912832010</t>
  </si>
  <si>
    <t xml:space="preserve">HP 1000-1130 TU S NO.5CG2280GLX </t>
  </si>
  <si>
    <t>HP 1000-1130 TU S NO.5CG2280GLX 3112013</t>
  </si>
  <si>
    <t>LENOVO LAPTOP MODEL :- Z 560, S.NO. :- CB06204724</t>
  </si>
  <si>
    <t>LENOVO LAPTOP MODEL :- Z 560, S.NO. :- CB062047242642011</t>
  </si>
  <si>
    <t>LENOVO IDEAPAD S-210 TOUCH</t>
  </si>
  <si>
    <t>LENOVO IDEAPAD S-210 TOUCH412014</t>
  </si>
  <si>
    <t>LENOVO IDEAPAD S-210 TOUCH2212014</t>
  </si>
  <si>
    <t>ALL IN ONE NON TOUCH POS MACHI</t>
  </si>
  <si>
    <t>ALL IN ONE NON TOUCH POS MACHI262014</t>
  </si>
  <si>
    <t>DELL LAPTOP VOSTRO 1540</t>
  </si>
  <si>
    <t>DELL LAPTOP VOSTRO 1540622012</t>
  </si>
  <si>
    <t>DELL LAPTOP VOSTRO 1540 SERVICE TAG NO. :- D8J2MR1</t>
  </si>
  <si>
    <t>DELL LAPTOP VOSTRO 1540 SERVICE TAG NO. :- D8J2MR13132012</t>
  </si>
  <si>
    <t>HCL DESKTOP3042011</t>
  </si>
  <si>
    <t>HP COMPAQ 4000 PRO S.NO :- CNT146X347</t>
  </si>
  <si>
    <t>HP COMPAQ 4000 PRO S.NO :- CNT146X3473132012</t>
  </si>
  <si>
    <t>HP LAPTOP MODEL :- DIV 6-3011 S.NO. :- INA0240PCS</t>
  </si>
  <si>
    <t>HP LAPTOP MODEL :- DIV 6-3011 S.NO. :- INA0240PCS2242011</t>
  </si>
  <si>
    <t>HP COMPAQ 4000 PRO SFF PC</t>
  </si>
  <si>
    <t>HP COMPAQ 4000 PRO SFF PC632012</t>
  </si>
  <si>
    <t>HP COMPAQ 4000 PRO PC</t>
  </si>
  <si>
    <t>HP COMPAQ 4000 PRO PC3132012</t>
  </si>
  <si>
    <t xml:space="preserve">COMPAQ PRESARIO C772TU LAPTOP </t>
  </si>
  <si>
    <t>COMPAQ PRESARIO C772TU LAPTOP 2352008</t>
  </si>
  <si>
    <t>DELL LAPTOP VOSTRO 1540 SERVICE TAG NO. :- HR0PJR1</t>
  </si>
  <si>
    <t>DELL LAPTOP VOSTRO 1540 SERVICE TAG NO. :- HR0PJR12922012</t>
  </si>
  <si>
    <t>DELL LAPTOP VOSTRO 1540 SERVICE TAG NO. :- 240PJR1</t>
  </si>
  <si>
    <t>DELL LAPTOP VOSTRO 1540 SERVICE TAG NO. :- 240PJR1632012</t>
  </si>
  <si>
    <t>LAPTOP</t>
  </si>
  <si>
    <t>LAPTOP3132012</t>
  </si>
  <si>
    <t>DELL  LAPTOP  VOSTRO1540 SR. NO-86MXNR1</t>
  </si>
  <si>
    <t>DELL  LAPTOP  VOSTRO1540 SR. NO-86MXNR11942012</t>
  </si>
  <si>
    <t xml:space="preserve">LAPTOP       </t>
  </si>
  <si>
    <t>LAPTOP       2022013</t>
  </si>
  <si>
    <t>HCL DESKTOP 15.6" LCD
SR. NO. 8101AA100414,245
AND 2 DVD R/W</t>
  </si>
  <si>
    <t>HCL DESKTOP 15.6" LCD
SR. NO. 8101AA100414,245
AND 2 DVD R/W19112010</t>
  </si>
  <si>
    <t>DESKTOP COMPUTER612015</t>
  </si>
  <si>
    <t>PRINTER LASERJET</t>
  </si>
  <si>
    <t>PRINTER LASERJET24102011</t>
  </si>
  <si>
    <t>DELL  LAPTOP VOSTRO1540 SR.NO,CH6YMR1</t>
  </si>
  <si>
    <t>DELL  LAPTOP VOSTRO1540 SR.NO,CH6YMR11342012</t>
  </si>
  <si>
    <t>HP COMPAQ 4000 PRO</t>
  </si>
  <si>
    <t>HP COMPAQ 4000 PRO1942012</t>
  </si>
  <si>
    <t>UPS972008</t>
  </si>
  <si>
    <t>DELL VOSTRO I3 - 1014 - QA</t>
  </si>
  <si>
    <t>DELL VOSTRO I3 - 1014 - QA1022014</t>
  </si>
  <si>
    <t>COMPUTER HARDWARE3092011</t>
  </si>
  <si>
    <t xml:space="preserve">MICROSOFT WINDOW </t>
  </si>
  <si>
    <t>MICROSOFT WINDOW 1012008</t>
  </si>
  <si>
    <t>DELL LATITUDE 3540 I-3</t>
  </si>
  <si>
    <t>DELL LATITUDE 3540 I-327122014</t>
  </si>
  <si>
    <t>LENOVO LAPTOP S/NO. CBQ1812875 M/T 59033805</t>
  </si>
  <si>
    <t>LENOVO LAPTOP S/NO. CBQ1812875 M/T 590338051882010</t>
  </si>
  <si>
    <t>DELL VOSTRO 2520 (I3)</t>
  </si>
  <si>
    <t>DELL VOSTRO 2520 (I3)1772014</t>
  </si>
  <si>
    <t xml:space="preserve">LAPTOP  </t>
  </si>
  <si>
    <t>LAPTOP  16112006</t>
  </si>
  <si>
    <t>DESKTOP COMPUTER1642010</t>
  </si>
  <si>
    <t>HP PAVILION 15-N213-TU/5CD35154D4</t>
  </si>
  <si>
    <t>HP PAVILION 15-N213-TU/5CD35154D41832014</t>
  </si>
  <si>
    <t>TELLY SOFTWARE1122007</t>
  </si>
  <si>
    <t xml:space="preserve">LAPTOP              </t>
  </si>
  <si>
    <t>LAPTOP              1892010</t>
  </si>
  <si>
    <t>LENOVO LAPTOP
S.NO. :- 59033805-CBQ1812871</t>
  </si>
  <si>
    <t>LENOVO LAPTOP
S.NO. :- 59033805-CBQ18128711772010</t>
  </si>
  <si>
    <t>COMPUTER HARDWARE2832010</t>
  </si>
  <si>
    <t>COMPUTER HARDWARE12102007</t>
  </si>
  <si>
    <t>6KVA ONLINE UPS(CVCF) WITH BACKUP 72AH X 15 BATTERY</t>
  </si>
  <si>
    <t>6KVA ONLINE UPS(CVCF) WITH BACKUP 72AH X 15 BATTERY3062010</t>
  </si>
  <si>
    <t>LAPTOP2052013</t>
  </si>
  <si>
    <t>WINDOW BASE PAYROLL SOFTWARE</t>
  </si>
  <si>
    <t>WINDOW BASE PAYROLL SOFTWARE3062010</t>
  </si>
  <si>
    <t>LAPTOP &amp; HARDDISK 5 GM</t>
  </si>
  <si>
    <t>LAPTOP &amp; HARDDISK 5 GM1362006</t>
  </si>
  <si>
    <t>HP PRINTER K-209, COMPUTER HARDWARE</t>
  </si>
  <si>
    <t>HP PRINTER K-209, COMPUTER HARDWARE25112011</t>
  </si>
  <si>
    <t>COMPUTER AND UPS962006</t>
  </si>
  <si>
    <t>HP COMPAQ COMPUTER</t>
  </si>
  <si>
    <t>HP COMPAQ COMPUTER1822006</t>
  </si>
  <si>
    <t>DELL LAPTOP</t>
  </si>
  <si>
    <t>DELL LAPTOP2942011</t>
  </si>
  <si>
    <t>TELLY SOFTWARE552007</t>
  </si>
  <si>
    <t>HP COMPAQ COMPUTER1782005</t>
  </si>
  <si>
    <t>COMPUTER HARDWARE3182012</t>
  </si>
  <si>
    <t>COMPUTER,,PRINTER,UPS</t>
  </si>
  <si>
    <t>COMPUTER,,PRINTER,UPS7122007</t>
  </si>
  <si>
    <t xml:space="preserve">CANON LASER JET2900D, COMPUTER HARDWARE </t>
  </si>
  <si>
    <t>CANON LASER JET2900D, COMPUTER HARDWARE 652009</t>
  </si>
  <si>
    <t>DELL 1150</t>
  </si>
  <si>
    <t>DELL 1150572012</t>
  </si>
  <si>
    <t>DESKTOP COMPUTER3062010</t>
  </si>
  <si>
    <t>DELL VOSTRO-2520</t>
  </si>
  <si>
    <t>DELL VOSTRO-25203112014</t>
  </si>
  <si>
    <t>HCL DESKTOP2822013</t>
  </si>
  <si>
    <t>SONY VAIO LAPTOP S.NO. :- S017000278A</t>
  </si>
  <si>
    <t>SONY VAIO LAPTOP S.NO. :- S017000278A3092011</t>
  </si>
  <si>
    <t>LAPTOP SONY VIO</t>
  </si>
  <si>
    <t>LAPTOP SONY VIO24102011</t>
  </si>
  <si>
    <t>LENOVO 2958 95Q LAPTOP S/NO MP07R2N</t>
  </si>
  <si>
    <t>LENOVO 2958 95Q LAPTOP S/NO MP07R2N28102009</t>
  </si>
  <si>
    <t>DELL LATITUDE 3440</t>
  </si>
  <si>
    <t>DELL LATITUDE 34402822014</t>
  </si>
  <si>
    <t>LAPTOP3052013</t>
  </si>
  <si>
    <t>COMPUTER HARDWARE482010</t>
  </si>
  <si>
    <t>LENOVO LAPTOP</t>
  </si>
  <si>
    <t>LENOVO LAPTOP29122014</t>
  </si>
  <si>
    <t>NAS APP IX4-300D 4TB 4HDX1TB A</t>
  </si>
  <si>
    <t>NAS APP IX4-300D 4TB 4HDX1TB A2162014</t>
  </si>
  <si>
    <t>DESKTOP COMPUTER17112007</t>
  </si>
  <si>
    <t>LX INFINITI TRU BL 1280 S/NO. CO96A4062881,CO96A4082882 , C096A4082883</t>
  </si>
  <si>
    <t>LX INFINITI TRU BL 1280 S/NO. CO96A4062881,CO96A4082882 , C096A40828832832010</t>
  </si>
  <si>
    <t>HP COMPAQ 4000 PRO SFF S.NO. SGH121RC2H,SGH121RC20</t>
  </si>
  <si>
    <t>HP COMPAQ 4000 PRO SFF S.NO. SGH121RC2H,SGH121RC208112011</t>
  </si>
  <si>
    <t>DELL VOSTRO 1014, SERVICE TAG NO. :- 85ZDRQ1,3DKTRN1</t>
  </si>
  <si>
    <t>DELL VOSTRO 1014, SERVICE TAG NO. :- 85ZDRQ1,3DKTRN12982011</t>
  </si>
  <si>
    <t>DELL VOSTRO 1014 S.NO. :- HT8HQQ1,C78HQQ1</t>
  </si>
  <si>
    <t>DELL VOSTRO 1014 S.NO. :- HT8HQQ1,C78HQQ1572011</t>
  </si>
  <si>
    <t>LAPTOP2092007</t>
  </si>
  <si>
    <t>DESKTOP COMPUTER1932008</t>
  </si>
  <si>
    <t>DELL VOSTRO 10142652011</t>
  </si>
  <si>
    <t>HP 4310S LAPTOP(WB232PA) S/NO. CNU94506WF</t>
  </si>
  <si>
    <t>HP 4310S LAPTOP(WB232PA) S/NO. CNU94506WF17122009</t>
  </si>
  <si>
    <t>COMPUTER HARDWARE2322007</t>
  </si>
  <si>
    <t>SONY VIO CR363/B VGN COMPUTER.</t>
  </si>
  <si>
    <t>SONY VIO CR363/B VGN COMPUTER.1362008</t>
  </si>
  <si>
    <t>LAPTOP AND WIN XP HOME</t>
  </si>
  <si>
    <t>LAPTOP AND WIN XP HOME1962008</t>
  </si>
  <si>
    <t>LAPTOP       142012</t>
  </si>
  <si>
    <t>COMPUTER HARDWARE AND NETWORKING 272008</t>
  </si>
  <si>
    <t>LAPTOP  3132007</t>
  </si>
  <si>
    <t>6KVA ONLINE UPS(CVCF) 7.2AHX15 BATTERY WITH BOX</t>
  </si>
  <si>
    <t>6KVA ONLINE UPS(CVCF) 7.2AHX15 BATTERY WITH BOX1722010</t>
  </si>
  <si>
    <t>DELL VOSTRO 15-3000 I-3</t>
  </si>
  <si>
    <t>DELL VOSTRO 15-3000 I-3612015</t>
  </si>
  <si>
    <t>NOTEBOOK SONY VAIO EH25</t>
  </si>
  <si>
    <t>NOTEBOOK SONY VAIO EH2520102011</t>
  </si>
  <si>
    <t>DESKTOP COMPUTER1452007</t>
  </si>
  <si>
    <t>IBM COMPUTER</t>
  </si>
  <si>
    <t>IBM COMPUTER17122005</t>
  </si>
  <si>
    <t>LAPTOP              19112010</t>
  </si>
  <si>
    <t>HP ELITE BOOK 8560W LAPTOP S.NO. :- 4CZ1320Z7N</t>
  </si>
  <si>
    <t>HP ELITE BOOK 8560W LAPTOP S.NO. :- 4CZ1320Z7N3092011</t>
  </si>
  <si>
    <t>DELL VASTRO LAPTOP 1015</t>
  </si>
  <si>
    <t>DELL VASTRO LAPTOP 10153062010</t>
  </si>
  <si>
    <t>NOTEBOOK</t>
  </si>
  <si>
    <t>NOTEBOOK582004</t>
  </si>
  <si>
    <t>DELL VOSTRO 1540 SERVICE TAG NO :- 9W7XJR1</t>
  </si>
  <si>
    <t>DELL VOSTRO 1540 SERVICE TAG NO :- 9W7XJR12422012</t>
  </si>
  <si>
    <t>HP COMPAQ 4000 PRO SFF PC3132012</t>
  </si>
  <si>
    <t>NAS APP IX4-300D 8TB 4HDX2TB A</t>
  </si>
  <si>
    <t>NAS APP IX4-300D 8TB 4HDX2TB A772014</t>
  </si>
  <si>
    <t>LAPTOP HP INTEL CORE 2GB/500GB/14.0</t>
  </si>
  <si>
    <t>LAPTOP HP INTEL CORE 2GB/500GB/14.01012014</t>
  </si>
  <si>
    <t>DELL LAPTOP VOSTRO 15403042012</t>
  </si>
  <si>
    <t>SONY VAIO</t>
  </si>
  <si>
    <t>SONY VAIO31122011</t>
  </si>
  <si>
    <t>5 KVA ONLINE UPS</t>
  </si>
  <si>
    <t>5 KVA ONLINE UPS1552009</t>
  </si>
  <si>
    <t>DELL VOSTRO 2520 (I3)872014</t>
  </si>
  <si>
    <t>APPLE MCBOOK AIR 13 INCH</t>
  </si>
  <si>
    <t>APPLE MCBOOK AIR 13 INCH262014</t>
  </si>
  <si>
    <t>DESKTOP COMPUTER2322010</t>
  </si>
  <si>
    <t>DELL VOSTRO 1014 LAPTOP</t>
  </si>
  <si>
    <t>DELL VOSTRO 1014 LAPTOP952011</t>
  </si>
  <si>
    <t>SONY VAIO ULTRA BOOK PR013</t>
  </si>
  <si>
    <t>SONY VAIO ULTRA BOOK PR0131612014</t>
  </si>
  <si>
    <t>COMPUTER HARDWARE2482010</t>
  </si>
  <si>
    <t>COMPUTER</t>
  </si>
  <si>
    <t>COMPUTER3112013</t>
  </si>
  <si>
    <t>WINDOWS VISTA BUSINESS GGS
ITEM CODE-1CAP020011</t>
  </si>
  <si>
    <t>WINDOWS VISTA BUSINESS GGS
ITEM CODE-1CAP0200112182009</t>
  </si>
  <si>
    <t>LX INFINITI TRU BL 1280 S/NO 5096A4162981-2985</t>
  </si>
  <si>
    <t>LX INFINITI TRU BL 1280 S/NO 5096A4162981-29852832010</t>
  </si>
  <si>
    <t>LX INFINITI TRU BL 1280 S/NO. 9096A4023342-46</t>
  </si>
  <si>
    <t>LX INFINITI TRU BL 1280 S/NO. 9096A4023342-462832010</t>
  </si>
  <si>
    <t>COMPUTER HARDWARE3182007</t>
  </si>
  <si>
    <t>IBM X 3200 (8GB RAM,DULE CORE SYSTEM)</t>
  </si>
  <si>
    <t>IBM X 3200 (8GB RAM,DULE CORE SYSTEM)2282008</t>
  </si>
  <si>
    <t>LX INFINITI TRU BL 1280 S/NO 7096A4006030 , 7096A4006031</t>
  </si>
  <si>
    <t>LX INFINITI TRU BL 1280 S/NO 7096A4006030 , 7096A40060312832010</t>
  </si>
  <si>
    <t>SOFTWARE3132006</t>
  </si>
  <si>
    <t>COMPUTER HARDWARE1892007</t>
  </si>
  <si>
    <t>COMPUTERS AND UPS</t>
  </si>
  <si>
    <t>COMPUTERS AND UPS3132008</t>
  </si>
  <si>
    <t>HP COMPAQ 4000 PRO SFF PC S.NO. :- SGH121RBXR,SGH121RC08,SGH121RBZC,SGH121RBYD</t>
  </si>
  <si>
    <t>HP COMPAQ 4000 PRO SFF PC S.NO. :- SGH121RBXR,SGH121RC08,SGH121RBZC,SGH121RBYD572011</t>
  </si>
  <si>
    <t>DELL VOSTRO 1450</t>
  </si>
  <si>
    <t>DELL VOSTRO 14502562012</t>
  </si>
  <si>
    <t>WINDOWS SVRENT 2008 SNAL OLP</t>
  </si>
  <si>
    <t>WINDOWS SVRENT 2008 SNAL OLP3132009</t>
  </si>
  <si>
    <t>ORACLE SOFTWARE, CA SOFTWARE</t>
  </si>
  <si>
    <t>ORACLE SOFTWARE, CA SOFTWARE1292008</t>
  </si>
  <si>
    <t>INTERNET SOFTWARE</t>
  </si>
  <si>
    <t>INTERNET SOFTWARE3062012</t>
  </si>
  <si>
    <t>PORTAL FOR HR MODULE</t>
  </si>
  <si>
    <t>PORTAL FOR HR MODULE2782013</t>
  </si>
  <si>
    <t>WIN SERVER CAL 2012 SNGL OLP N</t>
  </si>
  <si>
    <t>WIN SERVER CAL 2012 SNGL OLP N2572014</t>
  </si>
  <si>
    <t>COMPUTER UPS</t>
  </si>
  <si>
    <t>COMPUTER UPS3062007</t>
  </si>
  <si>
    <t>HCL INFINITI PRO BL 1265</t>
  </si>
  <si>
    <t>HCL INFINITI PRO BL 12651432008</t>
  </si>
  <si>
    <t>UPS 2 KVA3082011</t>
  </si>
  <si>
    <t>IBM TS2240 HALF HIGH LTO 4 SAS(3580S4E)</t>
  </si>
  <si>
    <t>IBM TS2240 HALF HIGH LTO 4 SAS(3580S4E)3172009</t>
  </si>
  <si>
    <t>CYBERROAM-UTM</t>
  </si>
  <si>
    <t>CYBERROAM-UTM462009</t>
  </si>
  <si>
    <t>COMPUTER HARDWARE1172007</t>
  </si>
  <si>
    <t>COMPUTER HARDWARE28112006</t>
  </si>
  <si>
    <t>DESKTOP COMPUTER2832010</t>
  </si>
  <si>
    <t>PRINTER652009</t>
  </si>
  <si>
    <t>INKJET PRINTER 
9020-1G-E CIJ
SERIAL NO. :- IN10250483</t>
  </si>
  <si>
    <t>INKJET PRINTER 
9020-1G-E CIJ
SERIAL NO. :- IN102504831772010</t>
  </si>
  <si>
    <t>PORTAL FOR HR MODULE9102013</t>
  </si>
  <si>
    <t>IBM X3650 M3 SERVER E5649 S.NO. :- AOCCHDNA5001345</t>
  </si>
  <si>
    <t>IBM X3650 M3 SERVER E5649 S.NO. :- AOCCHDNA50013452982011</t>
  </si>
  <si>
    <t>ERP BAAN IV</t>
  </si>
  <si>
    <t>ERP BAAN IV2122008</t>
  </si>
  <si>
    <t>NUMERIC 20 KVA ONLINE UPS. S/NO.V083503698 WITH EXIDE BATTERY 20 PCS.</t>
  </si>
  <si>
    <t>NUMERIC 20 KVA ONLINE UPS. S/NO.V083503698 WITH EXIDE BATTERY 20 PCS.17122008</t>
  </si>
  <si>
    <t>SAP IMPLEMENTATION 1112013</t>
  </si>
  <si>
    <t>ERP BAAN IV1522010</t>
  </si>
  <si>
    <t>ERP BAAN IV13112009</t>
  </si>
  <si>
    <t>SERVER IBM X3650M3</t>
  </si>
  <si>
    <t>SERVER IBM X3650M323122011</t>
  </si>
  <si>
    <t>INKJET PRINTER</t>
  </si>
  <si>
    <t>INKJET PRINTER412014</t>
  </si>
  <si>
    <t>MICROSOFT  OFFICE  2010  (LICENCE)</t>
  </si>
  <si>
    <t>MICROSOFT  OFFICE  2010  (LICENCE)1942012</t>
  </si>
  <si>
    <t>IBM SERVER 1CAP030019
SR.NO. 99E1744</t>
  </si>
  <si>
    <t>IBM SERVER 1CAP030019
SR.NO. 99E17441692009</t>
  </si>
  <si>
    <t>ERP BAAN IV2172009</t>
  </si>
  <si>
    <t>MSOFFICE2010</t>
  </si>
  <si>
    <t>MSOFFICE20103062012</t>
  </si>
  <si>
    <t>ERP BAAN IV3132010</t>
  </si>
  <si>
    <t>IBM STORWIZE V3700 SFF EXPANSION ENCLOSURE-SERVE</t>
  </si>
  <si>
    <t>IBM STORWIZE V3700 SFF EXPANSION ENCLOSURE-SERVE1332014</t>
  </si>
  <si>
    <t>WINPRO 8.1 SNGL OLP NL LEGALIZ</t>
  </si>
  <si>
    <t>WINPRO 8.1 SNGL OLP NL LEGALIZ2572014</t>
  </si>
  <si>
    <t>ERP BAAN IV2822008</t>
  </si>
  <si>
    <t>SAP IMPLEMENTATION 1552013</t>
  </si>
  <si>
    <t>SAP IMPLEMENTATION 182013</t>
  </si>
  <si>
    <t>ERP BAAN IV2312010</t>
  </si>
  <si>
    <t>ERP BAAN IV16112009</t>
  </si>
  <si>
    <t>DESKTOP COMPUTER1172008</t>
  </si>
  <si>
    <t>ERP BAAN IV2922008</t>
  </si>
  <si>
    <t>SAP IMPLEMENTATION 3012015</t>
  </si>
  <si>
    <t>MS WINDOW SVR 2008 ENT.EDITION, MS WINDOW VISTA BASIC.GGS,MS OFFICES STD EDITION 2007</t>
  </si>
  <si>
    <t>MS WINDOW SVR 2008 ENT.EDITION, MS WINDOW VISTA BASIC.GGS,MS OFFICES STD EDITION 20079112009</t>
  </si>
  <si>
    <t>1 Window SVR
40 Window Vista
20 Offices STD</t>
  </si>
  <si>
    <t>SERVER</t>
  </si>
  <si>
    <t>SERVER2352008</t>
  </si>
  <si>
    <t>SAP IMPLEMENTATION 10102014</t>
  </si>
  <si>
    <t>SAP IMPLEMENTATION 362013</t>
  </si>
  <si>
    <t>ERP BAAN IV27112008</t>
  </si>
  <si>
    <t>ERP BAAN IV1142009</t>
  </si>
  <si>
    <t>SAP IMPLEMENTATION 842013</t>
  </si>
  <si>
    <t>SAP IMPLEMENTATION 23122013</t>
  </si>
  <si>
    <t>SAP IMPLEMENTATION 142013</t>
  </si>
  <si>
    <t>Computer &amp; Software</t>
  </si>
  <si>
    <t>Asset  No</t>
  </si>
  <si>
    <t>Cat1</t>
  </si>
  <si>
    <t>Description</t>
  </si>
  <si>
    <t>003108000000000</t>
  </si>
  <si>
    <t>Trademark</t>
  </si>
  <si>
    <t>Ipr Exp Register Of Trade Mark</t>
  </si>
  <si>
    <t>Application Of Registration Trade Mark</t>
  </si>
  <si>
    <t>Application For Registration Of Trademark</t>
  </si>
  <si>
    <t>INTELLECTUAL PROPERTY RIGHTS</t>
  </si>
  <si>
    <t>Application Of Copy Right Work/Label</t>
  </si>
  <si>
    <t>Ipr Exp</t>
  </si>
  <si>
    <t>Registration Certificates For Copyright Of Best Th</t>
  </si>
  <si>
    <t>Registration Certificates For Copyright</t>
  </si>
  <si>
    <t>Trademark Application For Registraion</t>
  </si>
  <si>
    <t>Copyright</t>
  </si>
  <si>
    <t>Registraion Of Copy Right</t>
  </si>
  <si>
    <t>Best Hiney Certificatte Of Copy Right</t>
  </si>
  <si>
    <t>Trade Mark Label Expensses</t>
  </si>
  <si>
    <t>Registraion Of Trademark Label</t>
  </si>
  <si>
    <t>Exp Of Copy Right</t>
  </si>
  <si>
    <t>COPYRIGHT CHARGES (I LOVE BEST RICE)</t>
  </si>
  <si>
    <t>REGISTRATION CHRG TRADEMARK, INDELITE SELECT</t>
  </si>
  <si>
    <t>REGI. OF COPYRIGHT,SEARCH CERTIFICATE,GOVT.FEE</t>
  </si>
  <si>
    <t>COPYRIGHT CHARGES</t>
  </si>
  <si>
    <t>TRADEMARK REGI. CHRG (BEST LOGO)</t>
  </si>
  <si>
    <t>Intangible Asset</t>
  </si>
  <si>
    <t>Asset Type</t>
  </si>
  <si>
    <t>Name</t>
  </si>
  <si>
    <t>Address</t>
  </si>
  <si>
    <t xml:space="preserve">Land </t>
  </si>
  <si>
    <t>Ist pari-passu charge by way of Equitable mortgage of Commercial Company land measuring 10 M(302.50 sq.vards) situated opp.Radha Swami Satsang Bhawan,Indri</t>
  </si>
  <si>
    <t>Ist pari-passu charge by way of Equitable mortage of factory land measuring 15 kanal khewat 107, Khatoni No.122,Khasara No.17/20/1,18/15,16/1,17/1,23/22/5 at Village Norta ,Indri</t>
  </si>
  <si>
    <t>Ist pari-passu charge by way of Equitable mortageage of commercial land 68 K 3 M bearing Khewat No. 29 Min.khatoni No. 54 min.Kila no. 20/6 (1k2m),21/3/4(0-16),8(7k9m),9(7k12m),10(8K 0m),11(7k 0m),12(7K 12m),13(8k0m),18(8k0m),19(7k 12m),20(5k 0m),sale deed no. 4903/1 dt 29.08.08 Village Nangal Khurd Tehsil &amp; Distt.Sonepat.</t>
  </si>
  <si>
    <t xml:space="preserve">Ist parri- passu charge by way of Equitable mortgage of agriculure land (CLU obtained) measuring 197 K 17 M khewat No.59.46.50.47.54 at village Darar and khewat No.83.85.81 of village kurali, Distt.Karnal </t>
  </si>
  <si>
    <t>Ist pari-passu charge by way of Equitable mortgage of agriculture land measuring 29K 13 M khewat no.69 khatoni No.106, khasra No. 21/19(6K3m),22(8k 8m),23(8k0m),27/1/3/1 (2k 0m),2/1(5K 2m) at village Gadhi Gurjan,Tehsil Indri District Karnal,(Non SARFASI compliant , lien marked in revenue records)</t>
  </si>
  <si>
    <t>Ist pari -passu charge by way of  Equitable mortgage of agriculture land measuring 166 K 9 M vide sale deed no.1922 dated 14.01.2010, sale deed no. 2021 dated 27.01.2010 sale deed no. 297 dated 17.05.2010 bearing kila no. 16/1,10.11.20.17/14.4.5.6, 7.14.15.16.17, kila no.13/8,9/2,11/2.12.13.14.15, kila no. 6/2/2/3, 8.7.4/4,6/1,6//3.3 and kila no. 6//2/2/1.4/1.6//3/1 (part) kila no.6/2/4/3 and kila no. 6/2/2/1,4/1.6/3/1 (Part),kila no. 6//2/2/2,4/2,2/2/1.4/1.3/1. 6//3/2 at village Norta, Indri Distt Karnal</t>
  </si>
  <si>
    <t xml:space="preserve">Ist pari-passu charge by equitable mortgage  of industrial godown measuring 4840 sq yds Khasra no.440.441/1 at extended Lal Dora Abadi Village Hamidpur , Delhi </t>
  </si>
  <si>
    <t>Ist pari-passu charge by way of Equitable mortgage of Industrial Plot measuring 32K 10M Khasra No. 42/1643/20,22,60/2 min.43/19min.Khewat No.59 Khatoni No.96-99 at Rabka Village Darar Tehsil Indri Distt.</t>
  </si>
  <si>
    <t>Ist pari-passu charge by way of Equitable mortgage of Agricultural Land (CLU obtained )-0.6875 Acres (5K-10M) Khewat /Khatoni No. 140/158.159, Khasra No.14//19 min(5K-4M),20/1/1(1K-9M),Khasra No.14//19 min Norta (4K-0M)village Norta , Karnal</t>
  </si>
  <si>
    <t>1st pari-passu charge by way of equitable mortgage of Agricultural Land (CLU obtained)-6.09375 Acres (48K-16M),Khewat/Khotni No.138/156,khasra no.14/11(4K-16M),20/1/1(1K-9M):Khewat/Khotni No.139/157,Khasra No.14/20/1/2(1K-13 M): Khewat /Khatoni No. 140/158,159,Khasra No.14//19min (5K-4M),14//19 min north (4K-0M): Khewat/Khatoni No.167/191,Khasra No.13//16(8K-0M),14//20/2(4K-18M),21(8K-0M)22(8K-0M),23/1(2K-16M),2/1/1(0K-8M),Village Norta Karnal</t>
  </si>
  <si>
    <t>1st pari-passu charge by way of equitable mortgage of Agricultural Land (CLU obtained)-2.04375 Acres (16K-7M) Khewat/Khatoni no.138/156.Khasra No.14//11(4K-16M),20/1/1(1K-9M),Khewat/Khatoni No, 137/155. Khasra No.14//18 (3K-15)M1.23/2. (5K-4M)24(3K-14M)village Norta. Karnal</t>
  </si>
  <si>
    <t>l st pari-passu charge by way of Equitable mortgage of Agriculture Land (CLU obtained) measuring 2K-3M being 261/2196 share of 1.8K-06M in Khewat No.196 Khatoni no.224,225 Khasra No.16 '.3( 8-0).16. I4(8-0 ) 5(2-6). Kitta-3 at Village Norta.,Tehsil Indri, Distt. Karnal vide Sale deed No. 1319/1 dt. 19.0.8.2011</t>
  </si>
  <si>
    <t>1 s.t pari-pa.ssu charge by way of Equitable mortgage of Agriculture Land (CLU obtained) measuring 9K-8M in Khewat No. 170, Khatoni No.194. Khasta No. 12//25/2/1(0-3.). 25/2/2(1-6), 131/21/1(5-6). 21/2(2-13). Kittas 4 at Village Norta. Tehsil Indri. Distt. Karnal vide Sale deed No. 4562' dt 09.09.2011.</t>
  </si>
  <si>
    <t>[1st pari-passu charge by way of Equitable mortgage of Agriculture Land (CLU obtained): measuring 5K-4M being 626/966 share of 8K-1M comprised in Khewat No.267. Khasra No.16/17/1(4-0), 611(4-1). Kittas 2 at VillageNorta, Tehsil Indri, Distt. Karnal vide Sale deed No. 1320/1 ,dt. 19.08..2011.</t>
  </si>
  <si>
    <t>[1st pari-passu charge by way of Equitable mortgage ofAgriculture Land (CLU obtained):measuring 17K-14M being 5671/13440 share of 42K-OM comprised in Khewat No.74. Khatoni No.85. Khasra No. 17/1(8-0). 2(8-0). 9(8- . 27.05.13 0). 10(8-0). I 81/5(4-8), 6(5-12). Kitta 6 at Village Norta.Tehsil Indri, Distt. Karnal vide Sale deed No. 4560,1 dt. 09.09.20.11.</t>
  </si>
  <si>
    <t>1st pari-passu charge by way of Equitable mortgage of Agriculture Land (CLU obtained) measuring 21K-10M being 1742/3360 share of 41 K-9M comprised in KnovatNo.74. Khatoni No.85. Khasra No. 1 7/: 118-0). 2(8.0). C:118- 27.05.13 Of 10(8-0). 18115. min east (3-17). 6(5-12i. pitta` 6 at Village Norta Tehsil Indri Distt Karnal vide sale deed no 7440/1 dt. 22.12.2011</t>
  </si>
  <si>
    <t>1st pari-passu charge by way of Equitable mortgage of Agriculture Land (CLU obtained) 17K-17M comprised in in Khewat No.47. Khatoni No.60. Khasra No.7'.'25/2(4-0). 14111(8-0). 151/5(5-4). 6( 0-13). Kitta-4 at Ghisarpuri. Tehsil Indri. Distt. Karnal N•de Sale deed No. 7031/1 dt. 14.11.2011.</t>
  </si>
  <si>
    <t>1st pari-passu charge by way of Equitable mortgage of Agriculture land (CLU obtained)measuring 15K-2M as under 14K-15M being 19/20 share of 15K-1M comprised in khewat No.13,Khasra No.6.5(8-0),6.2(7-11).kitta-2 at 10k-7M being 133/400 share of 1K-0M comprised in khewat No.13 Khasra No. 6//2/2/1,3/1,4/1 , Kitta -3 situated at Village Ghisarpuri Tehsil Indri,Distt.Karnal vide Sale deed No.4564/1 dt.09.09.2011</t>
  </si>
  <si>
    <t>1st pari-passu charge by way Of Equitable mortgage of Commercial Office measuring total area 5124.22 Sq. Meter Unit No. 502. D-Mali. Plot No. A-L Neta ji Subhash Place.Pitampura, Delhi Sale Deed No. 8878 Dated 04.05.2012</t>
  </si>
  <si>
    <t>1st pari-passu charge by way of Equitable mortgage of factory land ana building measuring 31 kanal 13 Marta ofMis Bharat Rice Mill. Nona. Indri. Proprietor Sh. MohinderPal Jindal. Deed no. 1246/1 dt. 19.02.81 &amp; 30/1 dt.10 04.2000</t>
  </si>
  <si>
    <t>1st pari-passu charge by way of Equitable mortgage ofAgriculture land measuring 39 kanal 6 Maria at Labkarivillage (Indri) transferred in the name of Sh. Dinesh Kumardirector, by Sh. Mohinder Pal through relinquishment deed dt.19.04.2002.</t>
  </si>
  <si>
    <t>1st pari-passu charge by way of Equitable mortgage ofCommercial land measuring 2 Kanal 07 Marla situated vill Gudha, Indri. near Radha Swami Satsang Bhawan at Indri in the name of Smt. Shankutla Devi w/o Sh. Mohinder Pal</t>
  </si>
  <si>
    <t>1st pari-passu charge by way of Equitable mortgage of Two shops (double storey in main bazaar Opp.Devi Mandir Indri Area 66.66 sq.yds. 20X30 transferred in the name of Sh.Dinesh Kumar and Sh.Mohinder Pal through relinquishment deed 74/1 dated 19.04.2002</t>
  </si>
  <si>
    <t>1st pari-passu charge by .vay of Equitable mortgage of plot having 38 K 13 M hearing Kahasra no.17/3,17/8,1 7/I 2,17/13,17/18 Khewat no.28. Khatauni No.33 situated in Village Norta. Tehsil Indri Distt. Karnal in the name of Smt. Poonam w/o Sh. Dinesh Gupta Purchased vide sale deed no.906 dated 15.06.04 (lease hold rights of .deed no. 684 dt 22.08.08 in the name of company also mortgaged in the account) (Non SARFASI Compliant lien marked in revenue records)</t>
  </si>
  <si>
    <t>1st pari,passu charge by way of (a)Equitable mortgage of plot measuring 42 kanal 15 Marla situated in Village Norta. Tehsil Indri Distt. Karnal in the name of Sh. Mohindcr Pal Jindal s/o Sh. Krishan Chand Purchased vide sale deed no.195,1 dated 06.05.05.(b) Equitable mortgage of Land measuring 8 K 08 M situated at vill - Norta Teh: Indri, Distt Karnal, deed no.296/1 dt 13.05.2005 in the name of Mohinder Pal Jindal.(c) Equitable mortgage of plot measuring 02 karnal 09 Marla situated in Village Norta, Tehsil Indri Distt.Karnal in the name of Sh. Mohinder Pal Jindal slo/ Sh.Krishan Chand Purchased vide sale deed no.295/1 dated 13.05.05.(lease hold rights of deed no. 685 dt 22.08.08 in the name of campany, area 53 K-12 M is also mortgaged</t>
  </si>
  <si>
    <t>1st pari-passu charge by way of Equitable mortgage of residential plot No.808 -P. Sector -9. Urban Estates. Karnal measuring 1022.58 sq. yds. In the name of Smt. Shankutla Devi (Housing Loan of Rs.1.00 crore from M T Branch)Residual value(3.03-1.00)Rs 2.03 crore</t>
  </si>
  <si>
    <t>1st pari-passu charge by way 01 Equitable mortgage of agriculture land having area 47K-4M hearing khewat no.1462. Kila No.. 71'1(8-0). 2(8-0), 3 /2 (7-7), 4(7-3),7/2(4-4),8(8-0), 9(8-0), 10(8-0). 70/5/4 (4-3).,6(8-0), sale deed no 1779/1 dt 17.09.07 situated in Village Patti Kaliyana. Tehsil Samlkha Distt. Panipat in the name of M/s Heritage Infracon Pvt. Lid_ (Non SARFASI compliant . Lien marked in revenue records)</t>
  </si>
  <si>
    <t>1st pari passu charge by way of equitable mortgage of agriculture land having 27 k 18 m sale deed no 1781/1 dated 17.09.07  situated at village patti tehsil , samalkha distt panipat in the name of M/s Hermitage infracon Pvt. Ltd (Non SARFASI compliant . Lien marked in revenue records)</t>
  </si>
  <si>
    <t>1st pari passu charge by way of equitable mortgage of agriculture land having 18 k 2 m situated at village patti,  tehsil samalkha , distt panipat in the name of M/s Hermitage infracon Pvt. Ltd sale deed no 2776 and 2777/1 dated 31.12.07 (Non SARFAESI compliant.  Lien marked in revenue records)</t>
  </si>
  <si>
    <t>1st pari passu charge by way of equitable mortgage of agriculture laand having 23 k 12 m situated ay village patti tehsilsamalkha distt panipat in the name of M/s Hermitage infracon Pvt. Ltd sale deed no 31/1 dated 04.04.08 (Non SARFASI complaint lien marked in revenue records)</t>
  </si>
  <si>
    <t>1st pari pasu charge by way of equitable mortage of residential property house no 324,325,329 and 330/11 old anaz mandi abadi subhash colony tarori karnal in the name of smt. Poonam Gupta</t>
  </si>
  <si>
    <t>1st pari passu charge by way of equitable mortgage of agriculture land measuring 101 kanal 01 marla at VOP gopalpur tehsil Kharkhoda distt sonepat in the name of Smt Shakuntla Devi sale deed no 1907 dated 06.12.05 (Non SARFASI complaint lien marked in revenue records)</t>
  </si>
  <si>
    <t>1st pari passu charge by way of equitable mortage of residential building no 78 AP sector 8 urban estate karnal measuring 421 Sq. yards in the name of Sh. Mohinder Pal Jindasl purchased vide sale deed np 7769 dated 02.11.04</t>
  </si>
  <si>
    <t xml:space="preserve">DETAIL OF MATERIAL LITIGATION &amp; INVESTIGATION INTIATED AGAINST CORPORATE DEBTOR
</t>
  </si>
  <si>
    <t xml:space="preserve">                            </t>
  </si>
  <si>
    <t xml:space="preserve">                  </t>
  </si>
  <si>
    <t>Current status</t>
  </si>
  <si>
    <t>Type Of case</t>
  </si>
  <si>
    <t>Section 138</t>
  </si>
  <si>
    <t>The case is related to section 138 &amp; the next date of hearing is fixed at 27.03.2018</t>
  </si>
  <si>
    <t>The case is related to section 138 &amp; the next date of hearing is fixed at 17.03.2018</t>
  </si>
  <si>
    <t>The case is related to section 138 &amp; the next date of hearing is fixed at 08.03.2018</t>
  </si>
  <si>
    <t>The case is related to section 138 &amp; the next date of hearing is fixed at 26.03.2018</t>
  </si>
  <si>
    <t>The case is related to section 138 &amp; the next date of hearing is fixed at 28.03.2018</t>
  </si>
  <si>
    <t>The case is related to section 138 &amp; the next date of hearing is fixed at 24.05.2018</t>
  </si>
  <si>
    <t>The case is related to section 138 &amp; the next date of hearing is fixed at 19.03.2018</t>
  </si>
  <si>
    <t>The case is related to section 138 &amp; the next date of hearing is fixed at 16.04.2018</t>
  </si>
  <si>
    <t>The case is related to section 138 &amp; the next date of hearing is fixed at 16.03.2018</t>
  </si>
  <si>
    <t>The case is related to section 138 &amp; the next date of hearing is fixed at22.03.2018</t>
  </si>
  <si>
    <t>The case is related to section 138 &amp; the next date of hearing is fixed at 12.04.2018</t>
  </si>
  <si>
    <t>The case is related to section 138 &amp; the next date of hearing is fixed at 22.03.2018</t>
  </si>
  <si>
    <t>The case is related to section 138 &amp; the next date of hearing is fixed at 09.04.2018</t>
  </si>
  <si>
    <t>The case is related to section 138 &amp; the next date of hearing is fixed at 14.03.2018</t>
  </si>
  <si>
    <t>The case is related to section 138 &amp; the next date of hearing is fixed at 19.04.2018</t>
  </si>
  <si>
    <t>The case is related to section 138 &amp; the next date of hearing is fixed a 13.04.2018</t>
  </si>
  <si>
    <t>The case is related to section 138 &amp; the next date of hearing is fixed a 08.03.2018</t>
  </si>
  <si>
    <t>The case is related to section 138 &amp; the next date of hearing is fixed a 16.03.2018</t>
  </si>
  <si>
    <t>The case is related to section 138 &amp; the next date of hearing is fixed at 06.04.2018</t>
  </si>
  <si>
    <t>The case is related to section 138 &amp; the next date of hearing is fixed at 07.04.2018</t>
  </si>
  <si>
    <t>The case is related to section 138 &amp; the next date of hearing is fixed at 13.04.2018</t>
  </si>
  <si>
    <t>The case is related to section 138 &amp; the next date of hearing is fixed at 26.04.2018</t>
  </si>
  <si>
    <t>The case is related to section 138 &amp; the next date of hearing is fixed at 21.05.2018</t>
  </si>
  <si>
    <t>The case is related to section 138 &amp; the next date of hearing is fixed at 29.05.2018</t>
  </si>
  <si>
    <t>The case is related to section 138 &amp; the next date of hearing is fixed at 07.05.2018</t>
  </si>
  <si>
    <t>The case is related to section 138 &amp; the next date of hearing is fixed at 16.05.2018</t>
  </si>
  <si>
    <t>The case is related to section 138 &amp; the next date of hearing is fixed at 05.04.2018</t>
  </si>
  <si>
    <t>The case is related to section 138 &amp; the next date of hearing is fixed at 21.03.2018</t>
  </si>
  <si>
    <t>The case is related to section 138 &amp; the next date of hearing is fixed at 24.04.2018</t>
  </si>
  <si>
    <t xml:space="preserve">DLA Piper Singapore PTE Ltd </t>
  </si>
  <si>
    <t xml:space="preserve">Group M Media India Private Limited </t>
  </si>
  <si>
    <t>Audited Latest Annual Financial Statement available</t>
  </si>
  <si>
    <t>NO , But unaudited is available</t>
  </si>
  <si>
    <t>ANNEXURE-</t>
  </si>
  <si>
    <t>The case is related to section 138  &amp; the next date of hearing is fixed at 09.04.2018</t>
  </si>
  <si>
    <t>The case is related to section 138 &amp; the next date of hearing is fixed at 27.04.2018</t>
  </si>
  <si>
    <t>The case is related to section 138 &amp; the next date of hearing is fixed at 11.07.2018</t>
  </si>
  <si>
    <t>The case is related to section 138  &amp; the next date of hearing is fixed at 04.06.2018</t>
  </si>
  <si>
    <t>The case is related to section 138  &amp; the next date of hearing is fixed at 26.04.2018</t>
  </si>
  <si>
    <t>The case is related to section 138 &amp; the next date of hearing is fixed a 09.03.2018</t>
  </si>
  <si>
    <t>The case is related to section 138 &amp; the next date of hearing is fixed at 09.03.2018</t>
  </si>
  <si>
    <t>The case is related to section 138 &amp; the next date of hearing is fixed at 03.04.2018</t>
  </si>
  <si>
    <t>The case is related to section 138 &amp; the next date of hearing is fixed at 23.04.2018</t>
  </si>
  <si>
    <t>The next date of hearing is fixed at 02.01.2019</t>
  </si>
  <si>
    <t>The next date of hearing is fixed at 17.04.2018</t>
  </si>
  <si>
    <t>1,04,142          
   46,864</t>
  </si>
  <si>
    <t>1,82,594.78     
 10,233</t>
  </si>
  <si>
    <t>1,71,345.82 
    10,577</t>
  </si>
  <si>
    <t>1,04,515.84    
 15,757</t>
  </si>
  <si>
    <t>7,93,652          
   3,57,143       
     3,57,143</t>
  </si>
  <si>
    <t>10,47,826             4,71,521         
    4,71,522</t>
  </si>
  <si>
    <t>1,99,611.08       
   15,388</t>
  </si>
  <si>
    <t>4,24,518    
      1,91,033</t>
  </si>
  <si>
    <t>2,47,336      
  1,11,301</t>
  </si>
  <si>
    <t>25,000             
  41,000           
  25,000</t>
  </si>
  <si>
    <t>50,000               
 50,000                 
 50,000                  
   50,000</t>
  </si>
  <si>
    <t>25,000                   
 41,000                
  41,000</t>
  </si>
  <si>
    <t>1,61,848         
 72,832</t>
  </si>
  <si>
    <t>Current Status w.r.t next date of hearing</t>
  </si>
  <si>
    <t>Case Type</t>
  </si>
  <si>
    <t>10.04.2018</t>
  </si>
  <si>
    <t>NBW Issued+ Stay Reply</t>
  </si>
  <si>
    <t>27.07.2018</t>
  </si>
  <si>
    <t>Reply</t>
  </si>
  <si>
    <t>11.07.2018</t>
  </si>
  <si>
    <t>21.04.2018</t>
  </si>
  <si>
    <t>04.06.2018</t>
  </si>
  <si>
    <t>09.07.2018</t>
  </si>
  <si>
    <t>18.03.2018</t>
  </si>
  <si>
    <t>02.01.2019</t>
  </si>
  <si>
    <t>Ct Cases/48328/16</t>
  </si>
  <si>
    <t>Ct Cases/48327/16</t>
  </si>
  <si>
    <t>23.04.2018</t>
  </si>
  <si>
    <t>17.04.2018</t>
  </si>
  <si>
    <t>09.05.2018</t>
  </si>
  <si>
    <t>M/s Narsingh Dass Ram Chander, Shop No. 49, New Anaj Mandi, Jind Through Sh. Ashok Kumar</t>
  </si>
  <si>
    <t>02.04.2018</t>
  </si>
  <si>
    <t>187501              187506         027692</t>
  </si>
  <si>
    <t>11,000                           11,000                               1,77,576</t>
  </si>
  <si>
    <t>M/s G. S Jindal, Shop No. 25, New Anaj Mandi, Jind Through Ashwani Jindal</t>
  </si>
  <si>
    <t>112/18</t>
  </si>
  <si>
    <t>238819           027702</t>
  </si>
  <si>
    <t>60,300                         6,43,990</t>
  </si>
  <si>
    <t>01.05.2018</t>
  </si>
  <si>
    <t>512/17</t>
  </si>
  <si>
    <t>Cheque No. 027899</t>
  </si>
  <si>
    <t xml:space="preserve">1. Best foods Ltd.           2. Mahender Pal                    3. Dinesh Gupta           4. Ajit Singh                   5. Dinesh Gandhi </t>
  </si>
  <si>
    <t>Naveen Sharma Advocate Jind</t>
  </si>
  <si>
    <t>756/17</t>
  </si>
  <si>
    <t>Cheque No. 028890</t>
  </si>
  <si>
    <t xml:space="preserve">1. Best foods Ltd.           2. Dinesh Gupta             3.  Mahender Pal                     4. Ajay Kumar Vashistha                               5. Ajit Singh </t>
  </si>
  <si>
    <t>zzz</t>
  </si>
  <si>
    <t>DETAIL OF MATERIAL LITIGATION &amp; INVESTIGATION INTIATED AGAINST CORPORATE DEBTOR</t>
  </si>
  <si>
    <t>DETAIL OF MATERIAL LITIGATION &amp; INVESTIGATION INTIATED BY CORPORATE DEBTOR</t>
  </si>
  <si>
    <t xml:space="preserve">Best Foods Limited </t>
  </si>
  <si>
    <t xml:space="preserve"> IFCI Limited</t>
  </si>
  <si>
    <t>Name of the RP</t>
  </si>
  <si>
    <t>S. No.</t>
  </si>
  <si>
    <t>Whether Related Party, if yes, Nature of Relation</t>
  </si>
  <si>
    <t>Primary Security</t>
  </si>
  <si>
    <t xml:space="preserve">Companies Entire stock of Raw Material, Semi Finished &amp; Finished Goods Consumable Stores &amp; Spares &amp; other movable goods in transit and book debts </t>
  </si>
  <si>
    <t>Collateral Security</t>
  </si>
  <si>
    <t xml:space="preserve"> Equitable mortgage of Commercial Company land measuring 10 M(302.50 sq.vards) situated opp.Radha Swami Satsang Bhawan,Indri</t>
  </si>
  <si>
    <t xml:space="preserve"> Equitable mortage of factory land measuring 15 kanal khewat 107, Khatoni No.122,Khasara No.17/20/1,18/15,16/1,17/1,23/22/5 at Village Norta ,Indri</t>
  </si>
  <si>
    <t>Equitable mortageage of commercial land 68 K 3 M bearing Khewat No. 29 Min.khatoni No. 54 min.Kila no. 20/6 (1k2m),21/3/4(0-16),8(7k9m),9(7k12m),10(8K 0m),11(7k 0m),12(7K 12m),13(8k0m),18(8k0m),19(7k 12m),20(5k 0m),sale deed no. 4903/1 dt 29.08.08 Village Nangal Khurd Tehsil &amp; Distt.Sonepat.</t>
  </si>
  <si>
    <t xml:space="preserve"> Equitable mortgage of agriculure land (CLU obtained) measuring 197 K 17 M khewat No.59.46.50.47.54 at village Darar and khewat No.83.85.81 of village kurali, Distt.Karnal </t>
  </si>
  <si>
    <t xml:space="preserve"> mortgage of agriculture land measuring 29K 13 M khewat no.69 khatoni No.106, khasra No. 21/19(6K3m),22(8k 8m),23(8k0m),27/1/3/1 (2k 0m),2/1(5K 2m) at village Gadhi Gurjan,Tehsil Indri District Karnal,(Non SARFASI compliant , lien marked in revenue records)</t>
  </si>
  <si>
    <t xml:space="preserve"> Equitable mortgage of agriculture land measuring 166 K 9 M vide sale deed no.1922 dated 14.01.2010, sale deed no. 2021 dated 27.01.2010 sale deed no. 297 dated 17.05.2010 bearing kila no. 16/1,10.11.20.17/14.4.5.6, 7.14.15.16.17, kila no.13/8,9/2,11/2.12.13.14.15, kila no. 6/2/2/3, 8.7.4/4,6/1,6//3.3 and kila no. 6//2/2/1.4/1.6//3/1 (part) kila no.6/2/4/3 and kila no. 6/2/2/1,4/1.6/3/1 (Part),kila no. 6//2/2/2,4/2,2/2/1.4/1.3/1. 6//3/2 at village Norta, Indri Distt Karnal</t>
  </si>
  <si>
    <t xml:space="preserve">. equitable mortgage  of industrial godown measuring 4840 sq yds Khasra no.440.441/1 at extended Lal Dora Abadi Village Hamidpur , Delhi </t>
  </si>
  <si>
    <t>Equitable mortgage of Industrial Plot measuring 32K 10M Khasra No. 42/1643/20,22,60/2 min.43/19min.Khewat No.59 Khatoni No.96-99 at Rabka Village Darar Tehsil Indri Distt.</t>
  </si>
  <si>
    <t>Equitable mortgage of Agricultural Land (CLU obtained )-0.6875 Acres (5K-10M) Khewat /Khatoni No. 140/158.159, Khasra No.14//19 min(5K-4M),20/1/1(1K-9M),Khasra No.14//19 min Norta (4K-0M)village Norta , Karnal</t>
  </si>
  <si>
    <t>. equitable mortgage of Agricultural Land (CLU obtained)-6.09375 Acres (48K-16M),Khewat/Khotni No.138/156,khasra no.14/11(4K-16M),20/1/1(1K-9M):Khewat/Khotni No.139/157,Khasra No.14/20/1/2(1K-13 M): Khewat /Khatoni No. 140/158,159,Khasra No.14//19min (5K-4M),14//19 min north (4K-0M): Khewat/Khatoni No.167/191,Khasra No.13//16(8K-0M),14//20/2(4K-18M),21(8K-0M)22(8K-0M),23/1(2K-16M),2/1/1(0K-8M),Village Norta Karnal</t>
  </si>
  <si>
    <t>. equitable mortgage of Agricultural Land (CLU obtained)-2.04375 Acres (16K-7M) Khewat/Khatoni no.138/156.Khasra No.14//11(4K-16M),20/1/1(1K-9M),Khewat/Khatoni No, 137/155. Khasra No.14//18 (3K-15)M1.23/2. (5K-4M)24(3K-14M)village Norta. Karnal</t>
  </si>
  <si>
    <t>. Equitable mortgage of Agriculture Land (CLU obtained) measuring 2K-3M being 261/2196 share of 1.8K-06M in Khewat No.196 Khatoni no.224,225 Khasra No.16 '.3( 8-0).16. I4(8-0 ) 5(2-6). Kitta-3 at Village Norta.,Tehsil Indri, Distt. Karnal vide Sale deed No. 1319/1 dt. 19.0.8.2011</t>
  </si>
  <si>
    <t>Equitable mortgage of Agriculture Land (CLU obtained) measuring 9K-8M in Khewat No. 170, Khatoni No.194. Khasta No. 12//25/2/1(0-3.). 25/2/2(1-6), 131/21/1(5-6). 21/2(2-13). Kittas 4 at Village Norta. Tehsil Indri. Distt. Karnal vide Sale deed No. 4562' dt 09.09.2011.</t>
  </si>
  <si>
    <t xml:space="preserve"> Equitable mortgage of Agriculture Land (CLU obtained): measuring 5K-4M being 626/966 share of 8K-1M comprised in Khewat No.267. Khasra No.16/17/1(4-0), 611(4-1). Kittas 2 at VillageNorta, Tehsil Indri, Distt. Karnal vide Sale deed No. 1320/1 ,dt. 19.08..2011.</t>
  </si>
  <si>
    <t xml:space="preserve"> Equitable mortgage ofAgriculture Land (CLU obtained):measuring 17K-14M being 5671/13440 share of 42K-OM comprised in Khewat No.74. Khatoni No.85. Khasra No. 17/1(8-0). 2(8-0). 9(8- . 27.05.13 0). 10(8-0). I 81/5(4-8), 6(5-12). Kitta 6 at Village Norta.Tehsil Indri, Distt. Karnal vide Sale deed No. 4560,1 dt. 09.09.20.11.</t>
  </si>
  <si>
    <t>. Equitable mortgage of Agriculture Land (CLU obtained) measuring 21K-10M being 1742/3360 share of 41 K-9M comprised in KnovatNo.74. Khatoni No.85. Khasra No. 1 7/: 118-0). 2(8.0). C:118- 27.05.13 Of 10(8-0). 18115. min east (3-17). 6(5-12i. pitta` 6 at Village Norta Tehsil Indri Distt Karnal vide sale deed no 7440/1 dt. 22.12.2011</t>
  </si>
  <si>
    <t>. Equitable mortgage of Agriculture Land (CLU obtained) 17K-17M comprised in in Khewat No.47. Khatoni No.60. Khasra No.7'.'25/2(4-0). 14111(8-0). 151/5(5-4). 6( 0-13). Kitta-4 at Ghisarpuri. Tehsil Indri. Distt. Karnal N•de Sale deed No. 7031/1 dt. 14.11.2011.</t>
  </si>
  <si>
    <t>. Equitable mortgage of Agriculture land (CLU obtained)measuring 15K-2M as under 14K-15M being 19/20 share of 15K-1M comprised in khewat No.13,Khasra No.6.5(8-0),6.2(7-11).kitta-2 at 10k-7M being 133/400 share of 1K-0M comprised in khewat No.13 Khasra No. 6//2/2/1,3/1,4/1 , Kitta -3 situated at Village Ghisarpuri Tehsil Indri,Distt.Karnal vide Sale deed No.4564/1 dt.09.09.2011</t>
  </si>
  <si>
    <t>. Equitable mortgage of Commercial Office measuring total area 5124.22 Sq. Meter Unit No. 502. D-Mali. Plot No. A-L Neta ji Subhash Place.Pitampura, Delhi Sale Deed No. 8878 Dated 04.05.2012</t>
  </si>
  <si>
    <t>. Equitable mortgage of factory land ana building measuring 31 kanal 13 Marta ofMis Bharat Rice Mill. Nona. Indri. Proprietor Sh. MohinderPal Jindal. Deed no. 1246/1 dt. 19.02.81 &amp; 30/1 dt.10 04.2000</t>
  </si>
  <si>
    <t>. Equitable mortgage ofAgriculture land measuring 39 kanal 6 Maria at Labkarivillage (Indri) transferred in the name of Sh. Dinesh Kumardirector, by Sh. Mohinder Pal through relinquishment deed dt.19.04.2002.</t>
  </si>
  <si>
    <t>. Equitable mortgage ofCommercial land measuring 2 Kanal 07 Marla situated vill Gudha, Indri. near Radha Swami Satsang Bhawan at Indri in the name of Smt. Shankutla Devi w/o Sh. Mohinder Pal</t>
  </si>
  <si>
    <t>. Equitable mortgage of Two shops (double storey in main bazaar Opp.Devi Mandir Indri Area 66.66 sq.yds. 20X30 transferred in the name of Sh.Dinesh Kumar and Sh.Mohinder Pal through relinquishment deed 74/1 dated 19.04.2002</t>
  </si>
  <si>
    <t>Equitable mortgage of plot having 38 K 13 M hearing Kahasra no.17/3,17/8,1 7/I 2,17/13,17/18 Khewat no.28. Khatauni No.33 situated in Village Norta. Tehsil Indri Distt. Karnal in the name of Smt. Poonam w/o Sh. Dinesh Gupta Purchased vide sale deed no.906 dated 15.06.04 (lease hold rights of .deed no. 684 dt 22.08.08 in the name of company also mortgaged in the account) (Non SARFASI Compliant lien marked in revenue records)</t>
  </si>
  <si>
    <t>(a)Equitable mortgage of plot measuring 42 kanal 15 Marla situated in Village Norta. Tehsil Indri Distt. Karnal in the name of Sh. Mohindcr Pal Jindal s/o Sh. Krishan Chand Purchased vide sale deed no.195,1 dated 06.05.05.(b) Equitable mortgage of Land measuring 8 K 08 M situated at vill - Norta Teh: Indri, Distt Karnal, deed no.296/1 dt 13.05.2005 in the name of Mohinder Pal Jindal.(c) Equitable mortgage of plot measuring 02 karnal 09 Marla situated in Village Norta, Tehsil Indri Distt.Karnal in the name of Sh. Mohinder Pal Jindal slo/ Sh.Krishan Chand Purchased vide sale deed no.295/1 dated 13.05.05.(lease hold rights of deed no. 685 dt 22.08.08 in the name of campany, area 53 K-12 M is also mortgaged</t>
  </si>
  <si>
    <t>. Equitable mortgage of residential plot No.808 -P. Sector -9. Urban Estates. Karnal measuring 1022.58 sq. yds. In the name of Smt. Shankutla Devi (Housing Loan of Rs.1.00 crore from M T Branch)Residual value(3.03-1.00)Rs 2.03 crore</t>
  </si>
  <si>
    <t>Equitable mortgage of agriculture land having area 47K-4M hearing khewat no.1462. Kila No.. 71'1(8-0). 2(8-0), 3 /2 (7-7), 4(7-3),7/2(4-4),8(8-0), 9(8-0), 10(8-0). 70/5/4 (4-3).,6(8-0), sale deed no 1779/1 dt 17.09.07 situated in Village Patti Kaliyana. Tehsil Samlkha Distt. Panipat in the name of M/s Heritage Infracon Pvt. Lid_ (Non SARFASI compliant . Lien marked in revenue records)</t>
  </si>
  <si>
    <t xml:space="preserve"> equitable mortgage of agriculture land having 27 k 18 m sale deed no 1781/1 dated 17.09.07  situated at village patti tehsil , samalkha distt panipat in the name of M/s Hermitage infracon Pvt. Ltd (Non SARFASI compliant . Lien marked in revenue records)</t>
  </si>
  <si>
    <t>equitable mortgage of agriculture land having 18 k 2 m situated at village patti,  tehsil samalkha , distt panipat in the name of M/s Hermitage infracon Pvt. Ltd sale deed no 2776 and 2777/1 dated 31.12.07 (Non SARFAESI compliant.  Lien marked in revenue records)</t>
  </si>
  <si>
    <t xml:space="preserve"> equitable mortgage of agriculture laand having 23 k 12 m situated ay village patti tehsilsamalkha distt panipat in the name of M/s Hermitage infracon Pvt. Ltd sale deed no 31/1 dated 04.04.08 (Non SARFASI complaint lien marked in revenue records)</t>
  </si>
  <si>
    <t>. equitable mortage of residential property house no 324,325,329 and 330/11 old anaz mandi abadi subhash colony tarori karnal in the name of smt. Poonam Gupta</t>
  </si>
  <si>
    <t>equitable mortgage of agriculture land measuring 101 kanal 01 marla at VOP gopalpur tehsil Kharkhoda distt sonepat in the name of Smt Shakuntla Devi sale deed no 1907 dated 06.12.05 (Non SARFASI complaint lien marked in revenue records)</t>
  </si>
  <si>
    <t xml:space="preserve"> equitable mortage of residential building no 78 AP sector 8 urban estate karnal measuring 421 Sq. yards in the name of Sh. Mohinder Pal Jindasl purchased vide sale deed np 7769 dated 02.11.04</t>
  </si>
  <si>
    <t xml:space="preserve">hypothecation  on the residual value of fixed assets excluding land &amp; building , existing as well as future </t>
  </si>
  <si>
    <t xml:space="preserve"> hypothecation of plant &amp; machinery and other fixed assets of M/s Bharat Rice Mills excluding land &amp; building valued at 0.46 Cr. </t>
  </si>
  <si>
    <t xml:space="preserve">IFCI LIMITED </t>
  </si>
  <si>
    <t>SECURITY</t>
  </si>
  <si>
    <t xml:space="preserve"> charge on entire movable fixed assets of the company </t>
  </si>
  <si>
    <t>Charge on all current assets of the company both present and future</t>
  </si>
  <si>
    <t>CORPORATION BANK</t>
  </si>
  <si>
    <t xml:space="preserve">Charge on Movable and immovable property </t>
  </si>
  <si>
    <t>Charge on residential/commercial/agricultural/industrial land in the name of directors/family members/associates</t>
  </si>
  <si>
    <t xml:space="preserve"> Equitable mortgage of factory land ana building measuring 31 kanal 13 Marta ofMis Bharat Rice Mill. Nona. Indri. Proprietor Sh. MohinderPal Jindal. Deed no. 1246/1 dt. 19.02.81 &amp; 30/1 dt.10 04.2000</t>
  </si>
  <si>
    <t xml:space="preserve">hypothecation of plant &amp; machinery and other fixed assets of M/s Bharat Rice Mills excluding land &amp; building valued at 0.46 Cr. </t>
  </si>
  <si>
    <t>Equitable mortgage ofCommercial land measuring 2 Kanal 07 Marla situated vill Gudha, Indri. near Radha Swami Satsang Bhawan at Indri in the name of Smt. Shankutla Devi w/o Sh. Mohinder Pal</t>
  </si>
  <si>
    <t>Equitable mortgage of Two shops (double storey in main bazaar Opp.Devi Mandir Indri Area 66.66 sq.yds. 20X30 transferred in the name of Sh.Dinesh Kumar and Sh.Mohinder Pal through relinquishment deed 74/1 dated 19.04.2002</t>
  </si>
  <si>
    <t>Equitable mortgage ofAgriculture land measuring 39 kanal 6 Maria at Labkarivillage (Indri) transferred in the name of Sh. Dinesh Kumardirector, by Sh. Mohinder Pal through relinquishment deed dt.19.04.2002.</t>
  </si>
  <si>
    <t>Equitable mortgage of residential plot No.808 -P. Sector -9. Urban Estates. Karnal measuring 1022.58 sq. yds. In the name of Smt. Shankutla Devi (Housing Loan of Rs.1.00 crore from M T Branch)Residual value(3.03-1.00)Rs 2.03 crore</t>
  </si>
  <si>
    <t>equitable mortgage of agriculture land having 27 k 18 m sale deed no 1781/1 dated 17.09.07  situated at village patti tehsil , samalkha distt panipat in the name of M/s Hermitage infracon Pvt. Ltd (Non SARFASI compliant . Lien marked in revenue records)</t>
  </si>
  <si>
    <t>equitable mortgage of agriculture laand having 23 k 12 m situated ay village patti tehsilsamalkha distt panipat in the name of M/s Hermitage infracon Pvt. Ltd sale deed no 31/1 dated 04.04.08 (Non SARFASI complaint lien marked in revenue records)</t>
  </si>
  <si>
    <t>equitable mortage of residential property house no 324,325,329 and 330/11 old anaz mandi abadi subhash colony tarori karnal in the name of smt. Poonam Gupta</t>
  </si>
  <si>
    <t>equitable mortage of residential building no 78 AP sector 8 urban estate karnal measuring 421 Sq. yards in the name of Sh. Mohinder Pal Jindasl purchased vide sale deed np 7769 dated 02.11.04</t>
  </si>
  <si>
    <t>Equitable mortgage of Commercial Company land measuring 10 M(302.50 sq.vards) situated opp.Radha Swami Satsang Bhawan,Indri</t>
  </si>
  <si>
    <t>Equitable mortage of factory land measuring 15 kanal khewat 107, Khatoni No.122,Khasara No.17/20/1,18/15,16/1,17/1,23/22/5 at Village Norta ,Indri</t>
  </si>
  <si>
    <t xml:space="preserve">Equitable mortgage of agriculure land (CLU obtained) measuring 197 K 17 M khewat No.59.46.50.47.54 at village Darar and khewat No.83.85.81 of village kurali, Distt.Karnal </t>
  </si>
  <si>
    <t>Equitable mortgage of agriculture land measuring 29K 13 M khewat no.69 khatoni No.106, khasra No. 21/19(6K3m),22(8k 8m),23(8k0m),27/1/3/1 (2k 0m),2/1(5K 2m) at village Gadhi Gurjan,Tehsil Indri District Karnal,(Non SARFASI compliant , lien marked in revenue records)</t>
  </si>
  <si>
    <t>Equitable mortgage of agriculture land measuring 166 K 9 M vide sale deed no.1922 dated 14.01.2010, sale deed no. 2021 dated 27.01.2010 sale deed no. 297 dated 17.05.2010 bearing kila no. 16/1,10.11.20.17/14.4.5.6, 7.14.15.16.17, kila no.13/8,9/2,11/2.12.13.14.15, kila no. 6/2/2/3, 8.7.4/4,6/1,6//3.3 and kila no. 6//2/2/1.4/1.6//3/1 (part) kila no.6/2/4/3 and kila no. 6/2/2/1,4/1.6/3/1 (Part),kila no. 6//2/2/2,4/2,2/2/1.4/1.3/1. 6//3/2 at village Norta, Indri Distt Karnal</t>
  </si>
  <si>
    <t xml:space="preserve">equitable mortgage  of industrial godown measuring 4840 sq yds Khasra no.440.441/1 at extended Lal Dora Abadi Village Hamidpur , Delhi </t>
  </si>
  <si>
    <t>Charge ID</t>
  </si>
  <si>
    <t>charge oin all kinds of current assets</t>
  </si>
  <si>
    <t>Charge on entire fixed assets of the company</t>
  </si>
  <si>
    <t>Collateral security</t>
  </si>
  <si>
    <t>.  Equitable mortgage of agriculture land measuring 166 K 9 M vide sale deed no.1922 dated 14.01.2010, sale deed no. 2021 dated 27.01.2010 sale deed no. 297 dated 17.05.2010 bearing kila no. 16/1,10.11.20.17/14.4.5.6, 7.14.15.16.17, kila no.13/8,9/2,11/2.12.13.14.15, kila no. 6/2/2/3, 8.7.4/4,6/1,6//3.3 and kila no. 6//2/2/1.4/1.6//3/1 (part) kila no.6/2/4/3 and kila no. 6/2/2/1,4/1.6/3/1 (Part),kila no. 6//2/2/2,4/2,2/2/1.4/1.3/1. 6//3/2 at village Norta, Indri Distt Karnal</t>
  </si>
  <si>
    <t>Equitable mortgage of Agriculture Land (CLU obtained) measuring 2K-3M being 261/2196 share of 1.8K-06M in Khewat No.196 Khatoni no.224,225 Khasra No.16 '.3( 8-0).16. I4(8-0 ) 5(2-6). Kitta-3 at Village Norta.,Tehsil Indri, Distt. Karnal vide Sale deed No. 1319/1 dt. 19.0.8.2011</t>
  </si>
  <si>
    <t>Agriculture Land (CLU obtained): measuring 5K-4M being 626/966 share of 8K-1M comprised in Khewat No.267. Khasra No.16/17/1(4-0), 611(4-1). Kittas 2 at VillageNorta, Tehsil Indri, Distt. Karnal vide Sale deed No. 1320/1 ,dt. 19.08..2011.</t>
  </si>
  <si>
    <t>Hypothecation of plant &amp; machinery and other fixed assets of M/s Bharat Rice Mills excluding land &amp; Building</t>
  </si>
  <si>
    <t>IN THE NAME OF DIRECTORS</t>
  </si>
  <si>
    <t xml:space="preserve"> equitable mortgage of agriculture land having 18 k 2 m situated at village patti,  tehsil samalkha , distt panipat in the name of M/s Hermitage infracon Pvt. Ltd sale deed no 2776 and 2777/1 dated 31.12.07 (Non SARFAESI compliant.  Lien marked in revenue records)</t>
  </si>
  <si>
    <t xml:space="preserve"> equitable mortgage of agriculture land measuring 101 kanal 01 marla at VOP gopalpur tehsil Kharkhoda distt sonepat in the name of Smt Shakuntla Devi sale deed no 1907 dated 06.12.05 (Non SARFASI complaint lien marked in revenue records)</t>
  </si>
  <si>
    <t>1. Charge on Current Assets</t>
  </si>
  <si>
    <t>2. Charge on fixed assets</t>
  </si>
  <si>
    <t>. way of Equitable mortgage of Commercial Company land measuring 10 M(302.50 sq.vards) situated opp.Radha Swami Satsang Bhawan,Indri</t>
  </si>
  <si>
    <t>. way of Equitable mortage of factory land measuring 15 kanal khewat 107, Khatoni No.122,Khasara No.17/20/1,18/15,16/1,17/1,23/22/5 at Village Norta ,Indri</t>
  </si>
  <si>
    <t>. way of Equitable mortageage of commercial land 68 K 3 M bearing Khewat No. 29 Min.khatoni No. 54 min.Kila no. 20/6 (1k2m),21/3/4(0-16),8(7k9m),9(7k12m),10(8K 0m),11(7k 0m),12(7K 12m),13(8k0m),18(8k0m),19(7k 12m),20(5k 0m),sale deed no. 4903/1 dt 29.08.08 Village Nangal Khurd Tehsil &amp; Distt.Sonepat.</t>
  </si>
  <si>
    <t>. way of Equitable mortgage of agriculture land measuring 29K 13 M khewat no.69 khatoni No.106, khasra No. 21/19(6K3m),22(8k 8m),23(8k0m),27/1/3/1 (2k 0m),2/1(5K 2m) at village Gadhi Gurjan,Tehsil Indri District Karnal,(Non SARFASI compliant , lien marked in revenue records)</t>
  </si>
  <si>
    <t>. way of Equitable mortgage of Industrial Plot measuring 32K 10M Khasra No. 42/1643/20,22,60/2 min.43/19min.Khewat No.59 Khatoni No.96-99 at Rabka Village Darar Tehsil Indri Distt.</t>
  </si>
  <si>
    <t>. way of Equitable mortgage of Agricultural Land (CLU obtained )-0.6875 Acres (5K-10M) Khewat /Khatoni No. 140/158.159, Khasra No.14//19 min(5K-4M),20/1/1(1K-9M),Khasra No.14//19 min Norta (4K-0M)village Norta , Karnal</t>
  </si>
  <si>
    <t>Equitable mortgage of Agriculture Land (CLU obtained) measuring 2K-3M being 261/2196 share of 18K-06M in Khewat No.196 Khatoni no.224,225 Khasra No.16 '.3( 8-0).16. I4(8-0 ) 5(2-6). Kitta-3 at Village Norta.,Tehsil Indri, Distt. Karnal vide Sale deed No. 1319/1 dt. 19.0.8.2011</t>
  </si>
  <si>
    <t>[. Equitable mortgage of Agriculture Land (CLU obtained): measuring 5K-4M being 626/966 share of 8K-1M comprised in Khewat No.267. Khasra No.16/17/1(4-0), 611(4-1). Kittas 2 at VillageNorta, Tehsil Indri, Distt. Karnal vide Sale deed No. 1320/1 ,dt. 19.08..2011.</t>
  </si>
  <si>
    <t>[. Equitable mortgage ofAgriculture Land (CLU obtained):measuring 17K-14M being 5671/13440 share of 42K-OM comprised in Khewat No.74. Khatoni No.85. Khasra No. 17/1(8-0). 2(8-0). 9(8- . 27.05.13 0). 10(8-0). I 81/5(4-8), 6(5-12). Kitta 6 at Village Norta.Tehsil Indri, Distt. Karnal vide Sale deed No. 4560,1 dt. 09.09.20.11.</t>
  </si>
  <si>
    <t xml:space="preserve"> (a)Equitable mortgage of plot measuring 42 kanal 15 Marla situated in Village Norta. Tehsil Indri Distt. Karnal in the name of Sh. Mohindcr Pal Jindal s/o Sh. Krishan Chand Purchased vide sale deed no.195,1 dated 06.05.05.(b) Equitable mortgage of Land measuring 8 K 08 M situated at vill - Norta Teh: Indri, Distt Karnal, deed no.296/1 dt 13.05.2005 in the name of Mohinder Pal Jindal.(c) Equitable mortgage of plot measuring 02 karnal 09 Marla situated in Village Norta, Tehsil Indri Distt.Karnal in the name of Sh. Mohinder Pal Jindal slo/ Sh.Krishan Chand Purchased vide sale deed no.295/1 dated 13.05.05.(lease hold rights of deed no. 685 dt 22.08.08 in the name of campany, area 53 K-12 M is also mortgaged</t>
  </si>
  <si>
    <t>. equitable mortgage of agriculture land having 27 k 18 m sale deed no 1781/1 dated 17.09.07  situated at village patti tehsil , samalkha distt panipat in the name of M/s Hermitage infracon Pvt. Ltd (Non SARFASI compliant . Lien marked in revenue records)</t>
  </si>
  <si>
    <t>. equitable mortgage of agriculture land having 18 k 2 m situated at village patti,  tehsil samalkha , distt panipat in the name of M/s Hermitage infracon Pvt. Ltd sale deed no 2776 and 2777/1 dated 31.12.07 (Non SARFAESI compliant.  Lien marked in revenue records)</t>
  </si>
  <si>
    <t>. equitable mortgage of agriculture laand having 23 k 12 m situated ay village patti tehsilsamalkha distt panipat in the name of M/s Hermitage infracon Pvt. Ltd sale deed no 31/1 dated 04.04.08 (Non SARFASI complaint lien marked in revenue records)</t>
  </si>
  <si>
    <t>. equitable mortgage of agriculture land measuring 101 kanal 01 marla at VOP gopalpur tehsil Kharkhoda distt sonepat in the name of Smt Shakuntla Devi sale deed no 1907 dated 06.12.05 (Non SARFASI complaint lien marked in revenue records)</t>
  </si>
  <si>
    <t>. equitable mortage of residential building no 78 AP sector 8 urban estate karnal measuring 421 Sq. yards in the name of Sh. Mohinder Pal Jindasl purchased vide sale deed np 7769 dated 02.11.04</t>
  </si>
  <si>
    <t>SBI</t>
  </si>
  <si>
    <t xml:space="preserve"> Charge on Current assets</t>
  </si>
  <si>
    <t>Charge on Fixed Assets</t>
  </si>
  <si>
    <t>Charge on residual value of fixed assets</t>
  </si>
  <si>
    <t>equitable mortgage of Agricultural Land (CLU obtained)-6.09375 Acres (48K-16M),Khewat/Khotni No.138/156,khasra no.14/11(4K-16M),20/1/1(1K-9M):Khewat/Khotni No.139/157,Khasra No.14/20/1/2(1K-13 M): Khewat /Khatoni No. 140/158,159,Khasra No.14//19min (5K-4M),14//19 min north (4K-0M): Khewat/Khatoni No.167/191,Khasra No.13//16(8K-0M),14//20/2(4K-18M),21(8K-0M)22(8K-0M),23/1(2K-16M),2/1/1(0K-8M),Village Norta Karnal</t>
  </si>
  <si>
    <t>quitable mortgage of Agricultural Land (CLU obtained)-2.04375 Acres (16K-7M) Khewat/Khatoni no.138/156.Khasra No.14//11(4K-16M),20/1/1(1K-9M),Khewat/Khatoni No, 137/155. Khasra No.14//18 (3K-15)M1.23/2. (5K-4M)24(3K-14M)village Norta. Karnal</t>
  </si>
  <si>
    <t>Equitable mortgage of factory land ana building measuring 31 kanal 13 Marta ofMis Bharat Rice Mill. Nona. Indri. Proprietor Sh. MohinderPal Jindal. Deed no. 1246/1 dt. 19.02.81 &amp; 30/1 dt.10 04.2000</t>
  </si>
  <si>
    <t>Same as under Charge ID 10473427</t>
  </si>
  <si>
    <t>Equitable mortgage of Agriculture land (CLU obtained)measuring 15K-2M as under 14K-15M being 19/20 share of 15K-1M comprised in khewat No.13,Khasra No.6.5(8-0),6.2(7-11).kitta-2 at 10k-7M being 133/400 share of 1K-0M comprised in khewat No.13 Khasra No. 6//2/2/1,3/1,4/1 , Kitta -3 situated at Village Ghisarpuri Tehsil Indri,Distt.Karnal vide Sale deed No.4564/1 dt.09.09.2011</t>
  </si>
  <si>
    <t>Equitable mortgage of Agriculture Land (CLU obtained): measuring 5K-4M being 626/966 share of 8K-1M comprised in Khewat No.267. Khasra No.16/17/1(4-0), 611(4-1). Kittas 2 at VillageNorta, Tehsil Indri, Distt. Karnal vide Sale deed No. 1320/1 ,dt. 19.08..2011.</t>
  </si>
  <si>
    <t>Equitable mortgage ofAgriculture Land (CLU obtained):measuring 17K-14M being 5671/13440 share of 42K-OM comprised in Khewat No.74. Khatoni No.85. Khasra No. 17/1(8-0). 2(8-0). 9(8- . 27.05.13 0). 10(8-0). I 81/5(4-8), 6(5-12). Kitta 6 at Village Norta.Tehsil Indri, Distt. Karnal vide Sale deed No. 4560,1 dt. 09.09.20.11.</t>
  </si>
  <si>
    <t>equitable mortgage of Agricultural Land (CLU obtained)-2.04375 Acres (16K-7M) Khewat/Khatoni no.138/156.Khasra No.14//11(4K-16M),20/1/1(1K-9M),Khewat/Khatoni No, 137/155. Khasra No.14//18 (3K-15)M1.23/2. (5K-4M)24(3K-14M)village Norta. Karnal</t>
  </si>
  <si>
    <t>Equitable mortgage of Agriculture Land (CLU obtained) 17K-17M comprised in in Khewat No.47. Khatoni No.60. Khasra No.7'.'25/2(4-0). 14111(8-0). 151/5(5-4). 6( 0-13). Kitta-4 at Ghisarpuri. Tehsil Indri. Distt. Karnal N•de Sale deed No. 7031/1 dt. 14.11.2011.</t>
  </si>
  <si>
    <t>IDBI</t>
  </si>
  <si>
    <t>Hypothecation of all kinds of current assets of the company both present and future</t>
  </si>
  <si>
    <t xml:space="preserve">Hypothecation of residual value of all fixed assets excluding land and building </t>
  </si>
  <si>
    <t xml:space="preserve">Equitable mortage of land and building </t>
  </si>
  <si>
    <t>Equitable mortage of properties in the name of directors/relatives</t>
  </si>
  <si>
    <t xml:space="preserve"> Equitable mortgage of Agriculture Land (CLU obtained) measuring 21K-10M being 1742/3360 share of 41 K-9M comprised in KnovatNo.74. Khatoni No.85. Khasra No. 1 7/: 118-0). 2(8.0). C:118- 27.05.13 Of 10(8-0). 18115. min east (3-17). 6(5-12i. pitta` 6 at Village Norta Tehsil Indri Distt Karnal vide sale deed no 7440/1 dt. 22.12.2011</t>
  </si>
  <si>
    <t xml:space="preserve"> Equitable mortgage of Agriculture Land (CLU obtained) 17K-17M comprised in in Khewat No.47. Khatoni No.60. Khasra No.7'.'25/2(4-0). 14111(8-0). 151/5(5-4). 6( 0-13). Kitta-4 at Ghisarpuri. Tehsil Indri. Distt. Karnal N•de Sale deed No. 7031/1 dt. 14.11.2011.</t>
  </si>
  <si>
    <t xml:space="preserve"> Equitable mortgage of Agriculture land (CLU obtained)measuring 15K-2M as under 14K-15M being 19/20 share of 15K-1M comprised in khewat No.13,Khasra No.6.5(8-0),6.2(7-11).kitta-2 at 10k-7M being 133/400 share of 1K-0M comprised in khewat No.13 Khasra No. 6//2/2/1,3/1,4/1 , Kitta -3 situated at Village Ghisarpuri Tehsil Indri,Distt.Karnal vide Sale deed No.4564/1 dt.09.09.2011</t>
  </si>
  <si>
    <t xml:space="preserve"> Equitable mortgage of Commercial Office measuring total area 5124.22 Sq. Meter Unit No. 502. D-Mali. Plot No. A-L Neta ji Subhash Place.Pitampura, Delhi Sale Deed No. 8878 Dated 04.05.2012</t>
  </si>
  <si>
    <t xml:space="preserve"> Equitable mortgage of Two shops (double storey in main bazaar Opp.Devi Mandir Indri Area 66.66 sq.yds. 20X30 transferred in the name of Sh.Dinesh Kumar and Sh.Mohinder Pal through relinquishment deed 74/1 dated 19.04.2002</t>
  </si>
  <si>
    <t xml:space="preserve"> Equitable mortgage of plot having 38 K 13 M hearing Kahasra no.17/3,17/8,1 7/I 2,17/13,17/18 Khewat no.28. Khatauni No.33 situated in Village Norta. Tehsil Indri Distt. Karnal in the name of Smt. Poonam w/o Sh. Dinesh Gupta Purchased vide sale deed no.906 dated 15.06.04 (lease hold rights of .deed no. 684 dt 22.08.08 in the name of company also mortgaged in the account) (Non SARFASI Compliant lien marked in revenue records)</t>
  </si>
  <si>
    <t xml:space="preserve"> Equitable mortgage of residential plot No.808 -P. Sector -9. Urban Estates. Karnal measuring 1022.58 sq. yds. In the name of Smt. Shankutla Devi (Housing Loan of Rs.1.00 crore from M T Branch)Residual value(3.03-1.00)Rs 2.03 crore</t>
  </si>
  <si>
    <t xml:space="preserve"> Equitable mortgage of agriculture land having area 47K-4M hearing khewat no.1462. Kila No.. 71'1(8-0). 2(8-0), 3 /2 (7-7), 4(7-3),7/2(4-4),8(8-0), 9(8-0), 10(8-0). 70/5/4 (4-3).,6(8-0), sale deed no 1779/1 dt 17.09.07 situated in Village Patti Kaliyana. Tehsil Samlkha Distt. Panipat in the name of M/s Heritage Infracon Pvt. Lid_ (Non SARFASI compliant . Lien marked in revenue records)</t>
  </si>
  <si>
    <t xml:space="preserve"> equitable mortage of residential property house no 324,325,329 and 330/11 old anaz mandi abadi subhash colony tarori karnal in the name of smt. Poonam Gupta</t>
  </si>
  <si>
    <t>UCO Bank</t>
  </si>
  <si>
    <t>Charge by way of Hypothication on entire Present &amp; Future Current Asses of the Company</t>
  </si>
  <si>
    <t>Charge by way of EM of Land &amp; Building propertirs in the name of the company.</t>
  </si>
  <si>
    <t>Hypothication on residual value of all fixed Assets excluding land &amp; Building of the Company.</t>
  </si>
  <si>
    <t>Mortgage on Propertirs pertaining to Directors/Family Members and associated Concerns.</t>
  </si>
  <si>
    <t>Equitable Mortgage of Factory land and Building measuring 31K 13M of Bharat Rice Mills Kewat No. 107, Khasra No. 17/20/1 15.16/1, 17/1, 23/22/5, Village Norta Indri Propreitor Sh. Mohinder Pal Jindal Sale Deed no. 1246/1 dated 19.02..81 &amp; 30/1 dated 10.04.2000</t>
  </si>
  <si>
    <t>Equitable mortgage of Two shops (double storey in main bazaar Opp.Devi Mandir Indri Area 66.66 sq.yds. 20X30 transferred in the name of Sh.Dinesh Kumar and Sh.Mohinder Pal through relinquishment deed 74/1 dated 19.04.2002 )</t>
  </si>
  <si>
    <t xml:space="preserve">Equitable mortgage of plot having 39 K 6 M  Khatoni No. 34,  Kahasra no.49/12/2, 13/2, 14/2, 15/1/1, 16/2, 17.18.19.20.21.22.23.24.25, 58/1.2.3.4, 5.6.7/12,8,9,10,11,12,13,7/2,8,,9,10,11,12,131 at Labhkari Village Indri transfered in the name of Sh. Dinesh Gupta, Director y Mt, Mohinder Pal Gupta through relinguishment deed dated 19.04.2002 ((Non SARFASI Compliant lien marked in revenue records)   </t>
  </si>
  <si>
    <t>Equitable mortageage of Industrial land 68 K 13 M bearing Khewat No. 17/3, 17/8, 17/12, 17/13, 17/18 Kewat No. 28,  Khatoni No. 33 situated in village Norta Tehsil Indri Dist Karnal in the name of Smt Poonam W/o Sh, Dinesg Gupta purchased vide sale deed no. 906 dated 15.06.2004 (Lease hold rights of deed no. 684 dated 22.08.2008 in the name of company also mortgageed in the account.</t>
  </si>
  <si>
    <t>Equitable mortgage of Industrial Shed/Plot situated in village Norta Tehsil Indri, Dist Karnal, in the name of Mohinder Pal Jindal S/o Krishan Chand. A) Measuring 42K, 15 M bearing Khatoni No. 179, Khasra  no. 13/20/2, 17/2, 18/2, 19/2, 22.23.24/1 Kewat No. 175.179.181. b) Measuring 8K 8M bearing Khatoni no. 175.179.181 Khasra No. 13/17/1, 18/1, 19/1, 20/1 sale Deed no. 296/1 dated 13.05.2005. c) Measuring 2K 9M bearing khatoni no. 175 Mim, 179 min Khasra No. 13/17/2, 24/2 purchased vide sale deed no. 295/1 dated 13.05.2005 (Lease hold rights deeds no. 685, dated 22.08.2008, in thename of company area 53 K 12 M AlsoMortaged)</t>
  </si>
  <si>
    <t>Equitable Mortgage of Residential House no, 808 P Double Story Sector 9, Urban Estate Karnal measuring 1022.58 Sq. yds in the name of shakuntala Devi  (Personal House)</t>
  </si>
  <si>
    <t>Equitable mortgage of agriculture land measuring 27K 18 M  khatoni No.1407, Kila No. 70/7, 16/2, Khatoni No. 1408, Kila No. 70/16/1, 17/1, 24/1/2, 25/2,  Khatoni No. 1427, Kilano. 71/20/1 Khatoni No. 1745  Kila No. 70/15/1 Sale Deed no. 1781/1 dated 17.09.2007 situated in village Patti Kalyana Tehsil Samalkha Distt. Panipat in the name of Heritage Infra con Pvt. Ltd. ,(Non SARFASI compliant , lien marked in revenue records)</t>
  </si>
  <si>
    <t>equitable mortgage of agriculture land having 18 k 2 m Kewat No. 1431 kila no. 70/15/3. 71/19/2, kewat no. 1750 kila no. 71/12/2 kewat no. 1469  Kila No. 71/13kewat no. 1750 kila no. 71/12/2  situated at village patti,  tehsil samalkha , distt panipat in the name of M/s Hermitage infracon Pvt. Ltd sale deed no 2776 and 2777/1 dated 31.12.07 (Non SARFAESI compliant.  Lien marked in revenue records)</t>
  </si>
  <si>
    <t>equitable mortgage of agriculture land measuring 101 kanal 01 marla at VOP gopalpur tehsil Kharkhoda distt sonepat in the name of Smt Shakuntla Devi sale deed no 1907 dated 06.12.05 (Non SARFASI complaint lien marked in revenue records).</t>
  </si>
  <si>
    <t>A</t>
  </si>
  <si>
    <t>B</t>
  </si>
  <si>
    <t>C</t>
  </si>
  <si>
    <t>D</t>
  </si>
  <si>
    <t>1st Pari pasu Charge on all type of current assets ( Present &amp; Future) including Raw Material , FG, Work in Progress Stores, Spares &amp; Book Debts.</t>
  </si>
  <si>
    <t>2nd Pari pasu Charge on entire fixed asetrs having resedential value.</t>
  </si>
  <si>
    <t>1st pari Pasu Charge on Pledge of 30% of total shares (18,64,00,000) of BFL  with a face value of Rs. 10 each (50% fo face value in considered in line with Sbi as share of company is ot listed)</t>
  </si>
  <si>
    <t>Various Properties pertainig to Director / Family Member &amp; Associated Concern 1st pari pasu charge on  following properties.</t>
  </si>
  <si>
    <t>EM of factory land &amp; building measuring 31 Kanal 13 Marla belongs to Bharat Rice Miils Kewat No. 107, Khasra No. 17/20/1, 16/1, 17/1, 23/22/5, Village Norta Indri, Prop. Shri Mohindar Pal Jindal Sale Deed 1246/1 dated 19.02.81&amp; 30/1, dated 10.04.2000</t>
  </si>
  <si>
    <t>Equitable mortgage of Two shops (double storey in main bazaar Opp.Devi Mandir Indri Area 66.66 sq.yds. 20X30 transferred in the name of Sh.Dinesh Kumar and Sh.Mohinder Pal through relinquishment deed 74/1 dated 19.04.2000)</t>
  </si>
  <si>
    <t>EM of Indusrial plot having 38 kanal 6 Marla bearing Khasra no. 17/3, 17/8, 17/12, 17/13, 17/18, kewat no. 28 kahutni no. 33 situated in village Norta, The. Indri, Distt Karnal in the name of Smt. Poonam w/o Shri Dinesh Gupta vide sale Deed no. 906 dated 15.06.2004.( Lease hold right of deed no. 684 dated 22.08.08 in the name of company also mortgaged by SBI in the amount)</t>
  </si>
  <si>
    <t>AgricultureLand pertaining to Director/Family Members and associated concern</t>
  </si>
  <si>
    <t xml:space="preserve">Equitable mortgage of plot having 39 K 6 M  Khatoni No. 34,  Kahasra no.49/12/2, 13/2, 14/2, 15/1/1, 16/2, 17.18.19.20.21.22.23.24.25, 58/1.2.3.4, 5.6.7/12,8,9,10,11,12,13,7/2,8,,9,10,11,12,131 at Labhkari Village Indri transfered in the name of Sh. Dinesh Gupta, Director y Mt, Mohinder Pal Gupta through relinguishment deed dated 19.04.2002 ((Non SARFASI Compliant lien marked in revenue records) </t>
  </si>
  <si>
    <t>Equitable mortgage of agriculture land measuring 27K 18 M  khatoni No.1431, Kila No. 70/15/3, 71/19/2, Khatoni No. 1750, Kila No. 17/12/2, ,  Khatoni No. 1469, Kila no. 71/13/ Khatoni No. 1750  Kila No. 71/12/2 Kewat No. 1748 Kila No. 71/14/2, Kewat no. 2297 Kila No. 71/14/1, Kewat No. 1429 Kila No. 71/14/3 situated  in village Patti Kalyana Tehsil Samalkha Distt. Panipat in the name of Heritage Infra con Pvt. Ltd. Sale Deed No. 2776 &amp; 2777/1 Dated 31.12.2007,(Non SARFASI compliant , lien marked in revenue records)</t>
  </si>
  <si>
    <t>Dena Bank</t>
  </si>
  <si>
    <t xml:space="preserve"> Pledge of 30% of total shares (18,64,00,000) of BFL  with a face value of Rs. 10 each (consedering 50% fo face value in considered in line with Sbi as share of company is ot listed)</t>
  </si>
  <si>
    <t xml:space="preserve"> Pledge of 30% of total shares (18,64,00,000) of BFL  with a face value of Rs. 10 each </t>
  </si>
  <si>
    <t>Pari Pasu First Charge on properties pertaining to Directors/Family members and Associates concerns.</t>
  </si>
  <si>
    <t xml:space="preserve">EM of L &amp; B Measuring 8K 8M situated at village Norta The. bearing Khatoni no. 175.179.181 Khasra No. 13/17/1, 18/1, 19/1, 20/1 sale Deed no. 296/1 dated 13.05.2005. </t>
  </si>
  <si>
    <t>EM of Plot Measuring 2K 9M situated at village Norta in the name of  bearing khatoni no. 175 Mim, 179 min Khasra No. 13/17/2, 24/2 purchased vide sale deed no. 295/1 dated 13.05.2005 (Lease hold rights deeds no. 685, dated 22.08.2008, in thename of company area 53 K 12 M AlsoMortaged)</t>
  </si>
  <si>
    <t>EM of plot measuring 42 Kanal 15 Marla situated in village Norta the. Indri Distt Karnal  in the name of Mohinder Pal Jindal s/o Krishan Chand purchased vide sale deed no. 195/1 dated 06.05.05 khautni ni. 179 khasra no. 13//20/2, 17/2,18/2,19/2,22,23,24/1 khewat no. 151</t>
  </si>
  <si>
    <t>Paripasu second charge on entire fixed assets of the company including equitable mortgage of the property</t>
  </si>
  <si>
    <t xml:space="preserve">Equitable mortgage of agriculure land  measuring 197 K 17 M khewat No.59.46.50.47.54 at village Darar and khewat No.83.85.81 of village kurali, Distt.Karnal </t>
  </si>
  <si>
    <t>Equitable mortgage of agriculture land measuring 29K 13 M  at village Gadhi Gurjan,Tehsil Indri District Karnal,(Non SARFASI compliant , lien marked in revenue records)</t>
  </si>
  <si>
    <t xml:space="preserve"> Agriculture land measuring 15K-2M as under 14K-15M being 19/20 share of 15K-1M comprised in khewat No.13,Khasra No.6.5(8-0),6.2(7-11).kitta-2 at 10k-7M being 133/400 share of 1K-0M comprised in khewat No.13 Khasra No. 6//2/2/1,3/1,4/1 , Kitta -3 situated at Village Ghisarpuri Tehsil Indri,Distt.Karnal vide Sale deed No.4564/1 dt.09.09.2011</t>
  </si>
  <si>
    <t>Agriculture Land  measuring 21K-10M being 1742/3360 share of 41 K-9M comprised in KnovatNo.74. Khatoni No.85. Khasra No. 1 7/: 118-0). 2(8.0). C:118- 27.05.13 Of 10(8-0). 18115. min east (3-17). 6(5-12i. pitta` 6 at Village Norta Tehsil Indri Distt Karnal vide sale deed no 7440/1 dt. 22.12.2011</t>
  </si>
  <si>
    <t xml:space="preserve"> Agriculture Land  17K-17M comprised in in Khewat No.47. Khatoni No.60. Khasra No.7'.'25/2(4-0). 14111(8-0). 151/5(5-4). 6( 0-13). Kitta-4 at Ghisarpuri. Tehsil Indri. Distt. Karnal N•de Sale deed No. 7031/1 dt. 14.11.2011.</t>
  </si>
  <si>
    <t>Agriculture Land measuring 17K-14M being 5671/13440 share of 42K-OM comprised in Khewat No.74. Khatoni No.85. Khasra No. 17/1(8-0). 2(8-0). 9(8- . 27.05.13 0). 10(8-0). I 81/5(4-8), 6(5-12). Kitta 6 at Village Norta.Tehsil Indri, Distt. Karnal vide Sale deed No. 4560,1 dt. 09.09.20.11.</t>
  </si>
  <si>
    <t xml:space="preserve"> Agriculture Land  measuring 5K-4M being 626/966 share of 8K-1M comprised in Khewat No.267. Khasra No.16/17/1(4-0), 611(4-1). Kittas 2 at VillageNorta, Tehsil Indri, Distt. Karnal vide Sale deed No. 1320/1 ,dt. 19.08..2011.</t>
  </si>
  <si>
    <t xml:space="preserve"> Equitable mortgage of Agriculture Land  measuring 9K-8M in Khewat No. 170, Khatoni No.194. Khasta No. 12//25/2/1(0-3.). 25/2/2(1-6), 131/21/1(5-6). 21/2(2-13). Kittas 4 at Village Norta. Tehsil Indri. Distt. Karnal vide Sale deed No. 4562' dt 09.09.2011.</t>
  </si>
  <si>
    <t>Agriculture Land  measuring 2K-3M being 261/2196 share of 1.8K-06M in Khewat No.196 Khatoni no.224,225 Khasra No.16 '.3( 8-0).16. I4(8-0 ) 5(2-6). Kitta-3 at Village Norta.,Tehsil Indri, Distt. Karnal vide Sale deed No. 1319/1 dt. 19.0.8.2011</t>
  </si>
  <si>
    <t>. way of Equitable mortgage of Agricultural Land  (5K-10M) Khewat /Khatoni No. 140/158.159, Khasra No.14//19 min(5K-4M),20/1/1(1K-9M),Khasra No.14//19 min Norta (4K-0M)village Norta , Karnal</t>
  </si>
  <si>
    <t xml:space="preserve"> Agricultural Land  (48K-16M),Khewat/Khotni No.138/156,khasra no.14/11(4K-16M),20/1/1(1K-9M):Khewat/Khotni No.139/157,Khasra No.14/20/1/2(1K-13 M): Khewat /Khatoni No. 140/158,159,Khasra No.14//19min (5K-4M),14//19 min north (4K-0M): Khewat/Khatoni No.167/191,Khasra No.13//16(8K-0M),14//20/2(4K-18M),21(8K-0M)22(8K-0M),23/1(2K-16M),2/1/1(0K-8M),Village Norta Karnal</t>
  </si>
  <si>
    <t xml:space="preserve"> Agricultural Land Acres (16K-7M) Khewat/Khatoni no.138/156.Khasra No.14//11(4K-16M),20/1/1(1K-9M),Khewat/Khatoni No, 137/155. Khasra No.14//18 (3K-15)M1.23/2. (5K-4M)24(3K-14M)village Norta. Karnal</t>
  </si>
  <si>
    <t>way of Equitable mortgage of Commercial Company land measuring 10 M(302.50 sq.vards) situated opp.Radha Swami Satsang Bhawan,Indri</t>
  </si>
  <si>
    <t>Quantity (Nos.)</t>
  </si>
  <si>
    <t>Date of Acquisition</t>
  </si>
  <si>
    <t>Cost of Acquisition</t>
  </si>
  <si>
    <t>Claimed amount (INR)</t>
  </si>
  <si>
    <t>Admitted  amount (INR)</t>
  </si>
  <si>
    <t>As the verification/reconciliation of claims is still under process and the list of creditors shall be updated as and when more information are received and verified.</t>
  </si>
  <si>
    <t>Note:</t>
  </si>
  <si>
    <t>THE NUMBERS OF WORKERS AND EMPLOYEES AND LIABILITIES OF THE CORPORATE DEBTOR REGULATION 36 (2) (i)</t>
  </si>
  <si>
    <t>Yes 31/03/2016 &amp; 31/03/2015</t>
  </si>
  <si>
    <t>No , But unaudited is available</t>
  </si>
  <si>
    <t>TAMILNAD MERCANTILE BANK LIMITED</t>
  </si>
  <si>
    <t>Tamilnad Mercantile Bank Limited</t>
  </si>
  <si>
    <t xml:space="preserve">Corporation Bank </t>
  </si>
  <si>
    <t>Bank of Baroda</t>
  </si>
  <si>
    <t>Central Bank of India</t>
  </si>
  <si>
    <t>Canara Bank</t>
  </si>
  <si>
    <t xml:space="preserve"> charge ID 100027110</t>
  </si>
  <si>
    <t>under various charges</t>
  </si>
  <si>
    <t>Charge Id 10414262</t>
  </si>
  <si>
    <t>Charge is created against current assests(2nd Pari passu charge)</t>
  </si>
  <si>
    <t xml:space="preserve"> Charge ID 10550871</t>
  </si>
  <si>
    <t>charge ID 10556483</t>
  </si>
  <si>
    <t>Charge Id 10280274</t>
  </si>
  <si>
    <t>charge ID 100027110</t>
  </si>
  <si>
    <t>Mortgaged Under Charge ID 10419250</t>
  </si>
  <si>
    <t xml:space="preserve">Under two Charges </t>
  </si>
  <si>
    <t>1st pari,passu charge by way of (a)Equitable mortgage of plot measuring 42 kanal 15 Marla situated in Village Norta. Tehsil Indri Distt. Karnal in the name of Sh. Mohindcr Pal Jindal s/o Sh. Krishan Chand Purchased vide sale deed no.195,1 dated 06.05.05.(b) Equitable mortgage of Land measuring 8 K 08 M situated at vill - Norta Teh: Indri, Distt Karnal, deed no.296/1 dt 13.05.2005 in the name of Mohinder Pal Jindal.(c) Equitable mortgage of plot measuring 02 karnal 09 Marla situated in Village Norta, Tehsil Indri Distt.Karnal in the name of Sh. Mohinder Pal Jindal slo/ Sh.Krishan Chand Purchased vide sale deed no.295/1 dated 13.05.05.(lease hold rights of deed no. 685 dt 22.08.08 in the name of campany, area 53 K-12 M is also mortgaged.</t>
  </si>
  <si>
    <t>Norta</t>
  </si>
  <si>
    <t>Sonepat</t>
  </si>
  <si>
    <t>Kurali</t>
  </si>
  <si>
    <t>Gadhi Gurjan</t>
  </si>
  <si>
    <t>Hamidpur</t>
  </si>
  <si>
    <t>Darar</t>
  </si>
  <si>
    <t>Ghisarpuri</t>
  </si>
  <si>
    <t>Smalakha</t>
  </si>
  <si>
    <t>Details of Properties</t>
  </si>
  <si>
    <t>Amount Pending for Admission (INR)</t>
  </si>
  <si>
    <t>-</t>
  </si>
  <si>
    <t>Jalesh Kumar Grover</t>
  </si>
  <si>
    <t>31-03-2017 (unaudited)</t>
  </si>
  <si>
    <t>M/s GPI Textiles Limited</t>
  </si>
  <si>
    <t>Yes 31-03-2016 &amp; 31-03-2015</t>
  </si>
  <si>
    <t>Harish Chander Sharma</t>
  </si>
  <si>
    <t>Bijay Kumar Mohanty</t>
  </si>
  <si>
    <t>Ram Lakhan Gupta</t>
  </si>
  <si>
    <t>Sandeep Rana</t>
  </si>
  <si>
    <t>Mohan Singh</t>
  </si>
  <si>
    <t>Nirmalender Kumar</t>
  </si>
  <si>
    <t>Muntaj Mondal</t>
  </si>
  <si>
    <t>LL Saini</t>
  </si>
  <si>
    <t>Mritunjay Kumar</t>
  </si>
  <si>
    <t>Vishal Thakur</t>
  </si>
  <si>
    <t>Nishkam Dogra</t>
  </si>
  <si>
    <t>Pranav Kumar</t>
  </si>
  <si>
    <t>Arun Kumar Mishra</t>
  </si>
  <si>
    <t>Sorabh Marwaha</t>
  </si>
  <si>
    <t>Harpreet Singh</t>
  </si>
  <si>
    <t>Joginder pal</t>
  </si>
  <si>
    <t>Pawan Kumar Sharma</t>
  </si>
  <si>
    <t>Balbir Singh</t>
  </si>
  <si>
    <t>Sunil Kumar Dogra</t>
  </si>
  <si>
    <t>Soni Kumar Dogra</t>
  </si>
  <si>
    <t>Harish Chandar Sharma</t>
  </si>
  <si>
    <t>Sikander Singh</t>
  </si>
  <si>
    <t xml:space="preserve">Hari Prem </t>
  </si>
  <si>
    <t>Surinder Kumar</t>
  </si>
  <si>
    <t>Raghuvinder Singh</t>
  </si>
  <si>
    <t>Parveen Kumar Chaturvedi</t>
  </si>
  <si>
    <t>Arun Sharma</t>
  </si>
  <si>
    <t>Parveen Kumar rana</t>
  </si>
  <si>
    <t>Arun Gautam</t>
  </si>
  <si>
    <t>Sunil Kumar Sharma</t>
  </si>
  <si>
    <t>Yogesh Khosla</t>
  </si>
  <si>
    <t>Bhagirath Mal</t>
  </si>
  <si>
    <t>Sachin Kumar</t>
  </si>
  <si>
    <t>Natar Pal</t>
  </si>
  <si>
    <t>Ranjeet Kumar Singh</t>
  </si>
  <si>
    <t>Rakesh Rajan Singh</t>
  </si>
  <si>
    <t>Surender Singh</t>
  </si>
  <si>
    <t>Shashi Bhushan Kumar</t>
  </si>
  <si>
    <t>Ram Avtar Singh</t>
  </si>
  <si>
    <t>Vijay Kymar Mishra</t>
  </si>
  <si>
    <t>Pradip Kumar Mishra</t>
  </si>
  <si>
    <t>Rahul Raja</t>
  </si>
  <si>
    <t>Rajesh Gupta</t>
  </si>
  <si>
    <t>Satish Kumar Kaushal</t>
  </si>
  <si>
    <t>Ashutosh Kumar</t>
  </si>
  <si>
    <t>Sandeep Singh</t>
  </si>
  <si>
    <t>Om Prakash Singh</t>
  </si>
  <si>
    <t>Kuldeep Kumar</t>
  </si>
  <si>
    <t>Nilesh Khetawat</t>
  </si>
  <si>
    <t>Rajnish Kumar Sharma</t>
  </si>
  <si>
    <t>Mangal Ram</t>
  </si>
  <si>
    <t>Bal Mukand</t>
  </si>
  <si>
    <t>Shankar Dayal Sharma</t>
  </si>
  <si>
    <t>Krishan Nath Yadav</t>
  </si>
  <si>
    <t>Satpal Singh</t>
  </si>
  <si>
    <t xml:space="preserve"> Interest Claimed (INR)</t>
  </si>
  <si>
    <t>Total Amount claimed (INR)</t>
  </si>
  <si>
    <t>232777(subject to reconciliation)</t>
  </si>
  <si>
    <t>162104(subject to reconciliation)</t>
  </si>
  <si>
    <t>967417(subject to reconciliation)</t>
  </si>
  <si>
    <t>239717(subject to reconciliation)</t>
  </si>
  <si>
    <t>209813(subject to reconciliation)</t>
  </si>
  <si>
    <t>644408(subject to reconciliation)</t>
  </si>
  <si>
    <t>212199(subject to reconciliation)</t>
  </si>
  <si>
    <t>103713(subject to reconciliation)</t>
  </si>
  <si>
    <t>258318(subject to reconciliation)</t>
  </si>
  <si>
    <t>111795(subject to reconciliation)</t>
  </si>
  <si>
    <t>195000(subject to reconciliation)</t>
  </si>
  <si>
    <t>319595(subject to reconciliation)</t>
  </si>
  <si>
    <t>380920(subject to reconciliation)</t>
  </si>
  <si>
    <t>153043(subject to reconciliation)</t>
  </si>
  <si>
    <t>498412(subject to reconciliation)</t>
  </si>
  <si>
    <t>307337(subject to reconciliation)</t>
  </si>
  <si>
    <t>483383(subject to reconciliation)</t>
  </si>
  <si>
    <t>342432(subject to reconciliation)</t>
  </si>
  <si>
    <t>512967(subject to reconciliation)</t>
  </si>
  <si>
    <t>717861(subject to reconciliation)</t>
  </si>
  <si>
    <t>516057(subject to reconciliation)</t>
  </si>
  <si>
    <t>364183(subject to reconciliation)</t>
  </si>
  <si>
    <t>967195(subject to reconciliation)</t>
  </si>
  <si>
    <t>81369(subject to reconciliation)</t>
  </si>
  <si>
    <t>488234(subject to reconciliation)</t>
  </si>
  <si>
    <t>691295(subject to reconciliation)</t>
  </si>
  <si>
    <t>243003(subject to reconciliation)</t>
  </si>
  <si>
    <t>185543(subject to reconciliation)</t>
  </si>
  <si>
    <t>594855(subject to reconciliation)</t>
  </si>
  <si>
    <t>902245(subject to reconciliation)</t>
  </si>
  <si>
    <t>1105243(subject to reconciliation)</t>
  </si>
  <si>
    <t>340897(subject to reconciliation)</t>
  </si>
  <si>
    <t>28375(subject to reconciliation)</t>
  </si>
  <si>
    <t>308828(subject to reconciliation)</t>
  </si>
  <si>
    <t>96934(subject to reconciliation)</t>
  </si>
  <si>
    <t>400158(subject to reconciliation)</t>
  </si>
  <si>
    <t>103049(subject to reconciliation)</t>
  </si>
  <si>
    <t>1337198(subject to reconciliation)</t>
  </si>
  <si>
    <t>801743(subject to reconciliation)</t>
  </si>
  <si>
    <t>196032(subject to reconciliation)</t>
  </si>
  <si>
    <t>27351(subject to reconciliation)</t>
  </si>
  <si>
    <t>267064(subject to reconciliation)</t>
  </si>
  <si>
    <t>147443(subject to reconciliation)</t>
  </si>
  <si>
    <t>500007(subject to reconciliation)</t>
  </si>
  <si>
    <t>218680(subject to reconciliation)</t>
  </si>
  <si>
    <t>184082(subject to reconciliation)</t>
  </si>
  <si>
    <t>94485(subject to reconciliation)</t>
  </si>
  <si>
    <t>176274(subject to reconciliation)</t>
  </si>
  <si>
    <t>287940(subject to reconciliation)</t>
  </si>
  <si>
    <t>52351(subject to reconciliation)</t>
  </si>
  <si>
    <t>435868 (subject to reconciliation)</t>
  </si>
  <si>
    <t>432115 (subject to reconciliation)</t>
  </si>
  <si>
    <t>246509 (subject to reconciliation)</t>
  </si>
  <si>
    <t>71540 (subject to reconciliation)</t>
  </si>
  <si>
    <t>392479(subject to reconciliation)</t>
  </si>
  <si>
    <t>Claim Principal</t>
  </si>
  <si>
    <t>Sr.No</t>
  </si>
  <si>
    <t>JVR Forgings Limited</t>
  </si>
  <si>
    <t>Mr. Hemanshu Jetley</t>
  </si>
  <si>
    <t>12th September,2018</t>
  </si>
  <si>
    <t>18th September,2018</t>
  </si>
  <si>
    <t>Yes 31/03/2016 &amp; 31/03/2017</t>
  </si>
  <si>
    <t>Name of Directors</t>
  </si>
  <si>
    <t>DIN</t>
  </si>
  <si>
    <t>Description of Information</t>
  </si>
  <si>
    <t>I</t>
  </si>
  <si>
    <t>Assets</t>
  </si>
  <si>
    <t>(a)</t>
  </si>
  <si>
    <t>(i)</t>
  </si>
  <si>
    <t>(ii)</t>
  </si>
  <si>
    <t>(iii)</t>
  </si>
  <si>
    <t>(b)</t>
  </si>
  <si>
    <t>(d)</t>
  </si>
  <si>
    <t>Long Term Loans and Advances</t>
  </si>
  <si>
    <t>Inventories</t>
  </si>
  <si>
    <t>Trade Receivables</t>
  </si>
  <si>
    <t>Short Term Loans &amp; Advances</t>
  </si>
  <si>
    <t>Other Current Assets</t>
  </si>
  <si>
    <t>Total of Assets</t>
  </si>
  <si>
    <t>II</t>
  </si>
  <si>
    <t>Shareholders Fund</t>
  </si>
  <si>
    <t>Non Current Liabilities</t>
  </si>
  <si>
    <t>Long Term Borrowings</t>
  </si>
  <si>
    <t>Current Liabilities</t>
  </si>
  <si>
    <t>Short Term Borrowings</t>
  </si>
  <si>
    <t>Trade Payables</t>
  </si>
  <si>
    <t>Other Current Liabilities</t>
  </si>
  <si>
    <t>Short Term Provisions</t>
  </si>
  <si>
    <t>Total of Liabilities</t>
  </si>
  <si>
    <t>RAJEEV SINGAL</t>
  </si>
  <si>
    <t>GAURAV SINGAL</t>
  </si>
  <si>
    <t>DHARAM PAL GUPTA</t>
  </si>
  <si>
    <t>0000171197</t>
  </si>
  <si>
    <t>0000171292</t>
  </si>
  <si>
    <t>0000299128</t>
  </si>
  <si>
    <t>Non Current Assets
(a)Fixed Assets
(i) Tangible Assets</t>
  </si>
  <si>
    <t>Other non - current assets</t>
  </si>
  <si>
    <t>House No.- 160, Block- A, Aggar Nagar,Rajguru Nagar,Ludhiana Ludhiana 141012 Pb In</t>
  </si>
  <si>
    <t>H.No.116-A Aggar Nagar, Rajguru Nagar, Ludhiana 141012 Pb In</t>
  </si>
  <si>
    <t>House No.-116-A,Aggar Nagar, Rajguru Nagar, Ludhiana Ludhiana 141012 Pb In</t>
  </si>
  <si>
    <t>Name of Operational Creditor</t>
  </si>
  <si>
    <t>Claims Amount Received</t>
  </si>
  <si>
    <t>Book Balance</t>
  </si>
  <si>
    <t>Assets Description</t>
  </si>
  <si>
    <t>Depreciation Charged UP TO 31/03/2018</t>
  </si>
  <si>
    <t>WDV as on 31.03.2018</t>
  </si>
  <si>
    <t>Life as per Co. Act, 2013</t>
  </si>
  <si>
    <t>Life Used till 31/03/2018</t>
  </si>
  <si>
    <t>Remaining Life</t>
  </si>
  <si>
    <t>Skyhigh Infraland Private Limited</t>
  </si>
  <si>
    <t>Mr. Jalesh Kumar Grover</t>
  </si>
  <si>
    <t>02nd November,2018</t>
  </si>
  <si>
    <t>29th  November,2018</t>
  </si>
  <si>
    <t>Name of the Homebuyer</t>
  </si>
  <si>
    <t>Ram Kumar</t>
  </si>
  <si>
    <t>Jatinder Kumar</t>
  </si>
  <si>
    <t>Naveen Gupta</t>
  </si>
  <si>
    <t>Rakesh Kumar</t>
  </si>
  <si>
    <t>Raj Kumar</t>
  </si>
  <si>
    <t>Anil Bajaj</t>
  </si>
  <si>
    <t>Rajkumari</t>
  </si>
  <si>
    <t>Balwan Singh</t>
  </si>
  <si>
    <t>Saravjeet Kaur</t>
  </si>
  <si>
    <t>Ajay Goyal</t>
  </si>
  <si>
    <t>Sarswati Tanwar</t>
  </si>
  <si>
    <t>Davinder Sharma</t>
  </si>
  <si>
    <t>CLAIMS OF STATUTORY AUTHOURITY</t>
  </si>
  <si>
    <t>31-03- 2013 &amp; 31-03-2012</t>
  </si>
  <si>
    <t>31-03- 2015 &amp; 31-03-2016</t>
  </si>
  <si>
    <t xml:space="preserve">Amount as on 
31-03-2016 (Provisional) 
</t>
  </si>
  <si>
    <t>Tangible assets</t>
  </si>
  <si>
    <t>Intangible assets</t>
  </si>
  <si>
    <t>Non Current Investments</t>
  </si>
  <si>
    <t>©</t>
  </si>
  <si>
    <t>Defferred Tax Assets</t>
  </si>
  <si>
    <t>(e)</t>
  </si>
  <si>
    <t>Current Investments</t>
  </si>
  <si>
    <t>Cash and bank Balances</t>
  </si>
  <si>
    <t>Equity &amp; Liabilities</t>
  </si>
  <si>
    <t>Equity Share Capital</t>
  </si>
  <si>
    <t>Share Application Money Pending allotment</t>
  </si>
  <si>
    <t>Deferred tax Liabilities</t>
  </si>
  <si>
    <t>Other Long term Liabilities</t>
  </si>
  <si>
    <t>Long Term Term Provisions</t>
  </si>
  <si>
    <t xml:space="preserve">Reserve &amp; Surplus </t>
  </si>
  <si>
    <t>(pursuant to section 29 of IBC, 2016 read with regulation 36 of the IBBI                                                                                              (Insolvency resolution process for Corporate person) Regulations, 2016)</t>
  </si>
  <si>
    <t>Capital work in Progress</t>
  </si>
  <si>
    <t>Claim Amount Under Verfication (Rs.) INR</t>
  </si>
  <si>
    <t>Claim Amount under Verfication (Rs.) INR</t>
  </si>
  <si>
    <t xml:space="preserve">DESCRIPTION OF ASSETS AS ON INSOLVENCY COMMENCEMENT DATE REGULATION 36 (2) (a)
Note :  The F.A.R and other records of the corporate debtor as on CIRP date is not available with RP and is under process of gathering relevant information from various sources </t>
  </si>
  <si>
    <t>ASSETS &amp; LIABILITIES AS ON INSOLVENCY COMMENCEMENT DATE REGULATION 36 (2) (a)
Note : Since the details of assets and liablities and books of accounts and other records(F.A.R) as on CIRP date is not available with RP and is under process of gathering relevant information from various sources ,the description of assets and liabilities (as available ) as on 31-03-2016 is given as below</t>
  </si>
  <si>
    <t>Latest Audited Annual Financial Statement available</t>
  </si>
  <si>
    <t>Long  Term Borrowings Unsecured</t>
  </si>
  <si>
    <t>Total Amount Claimed</t>
  </si>
  <si>
    <t>Secured Financial Creditors</t>
  </si>
  <si>
    <t>C-126, Flat No.-6, Ist Floor, Near Hanuman Mandir Raju Park Devli Deoli, South Delhi.</t>
  </si>
  <si>
    <t>H.No. 2004,Sector - 13,Urban Estate,Karnal - 132001</t>
  </si>
  <si>
    <t>H.No. 15,Sector-33,Ror Colony,Karnal-132001</t>
  </si>
  <si>
    <t>H.No. 58-A,Model Town,Karnal-132001</t>
  </si>
  <si>
    <t>H.No.48,Nehru Nagar,Tehsil Camp,Panipat - 132103</t>
  </si>
  <si>
    <t>H.No.28,13 Extension,Urban Estate, Karnal - 132001</t>
  </si>
  <si>
    <t>H.No. 214,Sector - 29,Alpha International City,Karnal - 132001</t>
  </si>
  <si>
    <t>H.No.42,Sector-8,Urban Estate,Karnal-132001</t>
  </si>
  <si>
    <t>H.No. 316,Sector-7,Urban Estate,Karnal - 132001</t>
  </si>
  <si>
    <t>Assets Management branch, UCO Bank Building, Ground Floor, 5,Parliament Street, New Delhi - 110001</t>
  </si>
  <si>
    <t>Amount admitted</t>
  </si>
  <si>
    <t>Amount Claimed</t>
  </si>
  <si>
    <t>RAKESH KUMAR &amp; SUSHMA SHARMA</t>
  </si>
  <si>
    <t>H.NO. 997, SECTOR 9, URBAN ESTATE KARNAL, 132001</t>
  </si>
  <si>
    <t>PARMOD GAROLA</t>
  </si>
  <si>
    <t>H.NO. 1303, SECTOR 9, URBAN ESTATE, KARNAL, HARYANA</t>
  </si>
  <si>
    <t>CHANDER KALA MUNJAL &amp; HARBHAGWAN</t>
  </si>
  <si>
    <t>H.NO. 316, SECTOR 14, KARNAL, HARYANA</t>
  </si>
  <si>
    <t>ANU GUPTA</t>
  </si>
  <si>
    <t>H.NO. 916, SECTOR 13, URBAN ESTATE, KARNAL</t>
  </si>
  <si>
    <t>NARESH KUMAR GUPTA</t>
  </si>
  <si>
    <t>H.NO. 35, GALI NO. 13, R K PURAM KARNAL</t>
  </si>
  <si>
    <t>AMIT VIG</t>
  </si>
  <si>
    <t>B-244, MODEL TOWN, KARNAL.</t>
  </si>
  <si>
    <t>REETA RANI JAIN &amp; NAMAN JAIN</t>
  </si>
  <si>
    <t>147/12, KAGZIAN MOHALLA, NEAR HANUMAN GALI, KARNAL</t>
  </si>
  <si>
    <t>SAROJ NIGAM</t>
  </si>
  <si>
    <t>2028, SECTOR 7, URBAN ESTATE, KARNAL</t>
  </si>
  <si>
    <t>SHALAINDRA KATYAL</t>
  </si>
  <si>
    <t>192, NARSEE VILLAGE, SECTOR 32, KARNAL</t>
  </si>
  <si>
    <t>RAJ KUMARI SHARMA</t>
  </si>
  <si>
    <t>1747/5, JYOTI NAGAR, KURUKSHETRA</t>
  </si>
  <si>
    <t>RAMESH KUMAR &amp; RANBIR SINGH</t>
  </si>
  <si>
    <t>SHOP NO. 116, SECTOR 9, HUDA MARKET, KARNAL</t>
  </si>
  <si>
    <t>MUKESH LOHIA &amp; DILIP KUMAR</t>
  </si>
  <si>
    <t>RZ-92C, GALI NO-10 TUGHLAKABAD EXT, NEW DELHI, 110019.</t>
  </si>
  <si>
    <t>SONIKA GUPTA</t>
  </si>
  <si>
    <t>58, SECTOR 6, FIRST FLOOR, KARNAL</t>
  </si>
  <si>
    <t>JAI BAGWAAN SAINI</t>
  </si>
  <si>
    <t>H.NO. 135, SECTOR 8, PART II , KARNAL</t>
  </si>
  <si>
    <t>VAKINDER SINGH</t>
  </si>
  <si>
    <t>H.NO. 117, DERA , DABARKI KALAN, NALIPAR, KARNAL</t>
  </si>
  <si>
    <t>SOHAN LAL &amp; MOHAN LAL &amp; PARVEEN BATRA.</t>
  </si>
  <si>
    <t>VPO, KUNJPURA KARNAL.</t>
  </si>
  <si>
    <t>SANJAY CHAUHAN</t>
  </si>
  <si>
    <t>HOUSE NO A=2, SAINIK SCHOOL , KUNJPURA, KARNAL</t>
  </si>
  <si>
    <t>PARAMJEET SINGH</t>
  </si>
  <si>
    <t>H.NO. 464, SECTOR 16, URBAN ESTATE, KARNAL, 132001</t>
  </si>
  <si>
    <t>SUSHMA SINGH</t>
  </si>
  <si>
    <t>KATHAR P.O . BANSAL , SOLAN HP</t>
  </si>
  <si>
    <t>SUSHIL KUMAR MADAN AND MRS DEEP KIRAN</t>
  </si>
  <si>
    <t xml:space="preserve">H.NO. BT-302, NATIONAL INSTITUTE OF TECHNOLOGY CAMPUS </t>
  </si>
  <si>
    <t>KRISHAN LAL ARORA &amp; VANDANA ARORA</t>
  </si>
  <si>
    <t>HOUSE NO. 38-B, SECTOR-32-A, CHANDIGARH</t>
  </si>
  <si>
    <t>SAROJ SINGH</t>
  </si>
  <si>
    <t>HOUSE NO. 1599, SECTOR 9, URBAN ESTATE, KARNAL 132001, HARYANNA</t>
  </si>
  <si>
    <t>USHA KIRAN MEHTA</t>
  </si>
  <si>
    <t>HOUSE NO. 1752-A , HIG, OLD HOUSING BOARD COLONY, NEAR SHIV MANDIR , SEC 6 KARNAL</t>
  </si>
  <si>
    <t>ASHISH KUMAR JAIN</t>
  </si>
  <si>
    <t>H-22, GREEN PAK EXT. NEW DELHI 110016</t>
  </si>
  <si>
    <t>JAIPAL SINGH RANA</t>
  </si>
  <si>
    <t>VILLAGE AND P.O. - DAHA, DISTRICT - BAGHPAT (U.P.)</t>
  </si>
  <si>
    <t>UMESH RANI</t>
  </si>
  <si>
    <t>HOUSE NO. 43, SECTOR 6, URBAN ESTATE KARNAL-132001</t>
  </si>
  <si>
    <t>SUMIT KUMAR
JOGINDER SINGH</t>
  </si>
  <si>
    <t>G-8, HOSPOTAL AREA, NILKHERI, KARNAL, HARYANA - 132117</t>
  </si>
  <si>
    <t>RACHNA DEVI</t>
  </si>
  <si>
    <t>H. NO 1135,SECTOR 9,UE,KARNAL,HARYANA</t>
  </si>
  <si>
    <t>AJAY KUMAR BALYAN AND SARITA BALYAN</t>
  </si>
  <si>
    <t>H.NO-569,SECTOR-8,U.E.,KARNAL-132001</t>
  </si>
  <si>
    <t>POONAM RANI</t>
  </si>
  <si>
    <t xml:space="preserve">VILLAGE &amp; POST OFFICE NAULTHA TEHSIL PANIPAT </t>
  </si>
  <si>
    <t>SUSHMA RANI</t>
  </si>
  <si>
    <t>H.NO 1287, DELHI GOVT. FLATS. GULABI BAGH DELHI 110007</t>
  </si>
  <si>
    <t>MOHINDER SINGH and savita devi</t>
  </si>
  <si>
    <t>H.NO 354, WARD NO 1 KALRON KARNAL</t>
  </si>
  <si>
    <t>HEMANT AND RITU RANI</t>
  </si>
  <si>
    <t>VILLAGE. BHAILA KHURD SAHARANPUR, UP 247554
FLAT NO. A104, HINJE WADI PHASE 3, HEMANT MEGAPOLISMISTICE SOCIETY PUNE 511057( USE THIS ADDRESS)</t>
  </si>
  <si>
    <t>PARDEEP TURAN</t>
  </si>
  <si>
    <t>V.P.O POPRA THE. ASSANDH DISTT KARNAL</t>
  </si>
  <si>
    <t>UPESH RANI</t>
  </si>
  <si>
    <t>H. NO 718/8 WARD -2 GALI NO 4 R.K.PURAM,KARNAL-132001</t>
  </si>
  <si>
    <t>KANIKA</t>
  </si>
  <si>
    <t>H.NO 157,SECTOR 13 URBAN ESTATE KARNAL 132001</t>
  </si>
  <si>
    <t>RANDEEP RANA</t>
  </si>
  <si>
    <t>H. NO 198 SECTOR 7 KARNAL</t>
  </si>
  <si>
    <t>VIKRAM SINGH AND ROHIT</t>
  </si>
  <si>
    <t>H. NO 1133,SECTOR 7 URBAN STATE KARNAL</t>
  </si>
  <si>
    <t>BALKAR SINGH</t>
  </si>
  <si>
    <t>JIWER HERI,BASTARA GHAROUNDA KARNAL</t>
  </si>
  <si>
    <t>AMIT YADAV</t>
  </si>
  <si>
    <t>MOHALLA GHOSIYAN WARD NO 24 GARHMUKTESHWAR GARH BRIDGE HALL( UP)</t>
  </si>
  <si>
    <t>ANKIT SINGLA</t>
  </si>
  <si>
    <t>H. NO 260/1 WARD NO 16 MOTI NAGAR KARNAL</t>
  </si>
  <si>
    <t>HARSH CHAUDHARY AND SONIA CHAUDHARY</t>
  </si>
  <si>
    <t>H. NO 409,URBAN ESTATE SECTOR 6 KARNAL</t>
  </si>
  <si>
    <t>SURESH CHAND SHARMA AND INDU SHARMA</t>
  </si>
  <si>
    <t xml:space="preserve">H. NO 229 URBAN ESTATE NEAR GYM KHANA CLUB , SECTOR 8, KARNAL </t>
  </si>
  <si>
    <t>JAI PAL SHARMA AND RAJEEV SHARMA</t>
  </si>
  <si>
    <t>FLAT NO 10 , CAND D BLOCK, SHALIMAR BAGH, NORTH WEST DELHI - 110088</t>
  </si>
  <si>
    <t>MUKESH KUMAR GOLLEN AND DHARAM PAL GOLLEN</t>
  </si>
  <si>
    <t>VPO PUNDRI NEAR KHERA KAITHALLY GATE PUNDRI HARYANA</t>
  </si>
  <si>
    <t>POONAM RANI DINDYAL AND RAJPAL SINGH DINDYAL</t>
  </si>
  <si>
    <t>H. NO 397 PUNDRI</t>
  </si>
  <si>
    <t>BALVINDER SINGH</t>
  </si>
  <si>
    <t>2181-D, SCETOR 7, U.E. KARNAL (HR) 132001</t>
  </si>
  <si>
    <t>DHARAMVIR SINGH
SOMPAL SINGH
SUNEEL KUMAR
GIAN SINGH</t>
  </si>
  <si>
    <t>H.NO. 717/3, KURUKSHETRA
H.NO. 51 WARD NO. 11, KARNAL
H.NO. 1044/6 U.E. KARNAL
H.NO. 566, BAL RANGRAN, KARNAL</t>
  </si>
  <si>
    <t>ROMA</t>
  </si>
  <si>
    <t>381,SEC-13, KURUKSHTRA</t>
  </si>
  <si>
    <t>PARAMJIT KAUR VERMA
NARSH KUMAR VERMA</t>
  </si>
  <si>
    <t>#304, TOWER NO. 12, ROYALE ESTATE ZIRAKPUR-140603</t>
  </si>
  <si>
    <t>RENUKA  SHARMA</t>
  </si>
  <si>
    <t>HOUSE NO 16E BLOCK 3RD PROFESSORS CLONY NEAR ANAND PUBLIC SCHOOL YAMUNA NAGAR</t>
  </si>
  <si>
    <t>RAHULCHOUDHARY AND SIDDHI CHOUDHARY</t>
  </si>
  <si>
    <t>H. NO 1443 SECTOR 7 URBAN STATE KARNAL HARYANA</t>
  </si>
  <si>
    <t>H NO. 1743, SECTOR-7, URBAN ESTATE,KARNAL-132001</t>
  </si>
  <si>
    <t>Beem Colony, Sector 32- Karnal 132001</t>
  </si>
  <si>
    <t>Satyanand Singh (Financed by Allahabad Bank)</t>
  </si>
  <si>
    <t>Ranjit Singh Saini and Anita Rani (Financed by Allahabad Bank)</t>
  </si>
  <si>
    <t>h.no. 1295, Sector 7 , Kurukshetra</t>
  </si>
  <si>
    <t>Rakesh Bhardwaj and AnIta Bhardwaj</t>
  </si>
  <si>
    <t>House No. 523, Sector 8, urban Estate , Karnal</t>
  </si>
  <si>
    <t>House nO. 11, Civil Line, Subhash Marg, Karnal -132001</t>
  </si>
  <si>
    <t>RAJESH CHAUDHARY</t>
  </si>
  <si>
    <t>H.NO. 4, RAMPURA , KOTABAGH, MEERUT ROAD, KARNAL</t>
  </si>
  <si>
    <t>VIJAY KUMAR WALIA</t>
  </si>
  <si>
    <t>HOUSE NO. 972, SECTOR -5, U.E. KURUKSHETRA-136110 HARYANA</t>
  </si>
  <si>
    <t>JATIN CHABRA AND MONICA</t>
  </si>
  <si>
    <t>HOUSE NO. 211/7 , IBRAHIM MANDI , KARNAL - 132001</t>
  </si>
  <si>
    <t>TARSEM CHAND</t>
  </si>
  <si>
    <t xml:space="preserve">HOUSE NO. 204-B , MOTI NAGAR , KARNAL </t>
  </si>
  <si>
    <t>INR INFRASTRUCTURE PRIVATE LIMITED</t>
  </si>
  <si>
    <t>H. No. 317,Sector - 7,Urban estate,Karnal - 132001</t>
  </si>
  <si>
    <t>H. No. 833,Sector - 7,Urban estate,Karnal - 132001</t>
  </si>
  <si>
    <t>RajniKant Mittal</t>
  </si>
  <si>
    <t>H.No. 668,Sarkari School,Kurlan(73), VPO- Karnal,Tehsil Assandh,Karnal- 132001</t>
  </si>
  <si>
    <t>H.No.712,Uchana,Karn lake,Karnal-132001</t>
  </si>
  <si>
    <t>MANJEET SINGH &amp; SONS (HUF) RSA REALTY PVT LTD</t>
  </si>
  <si>
    <t>575-R, MODEL TOWN , PANIPAT</t>
  </si>
  <si>
    <t>PARAMJIT SINGH (RSA REALTY PVT LTD)</t>
  </si>
  <si>
    <t>G-16/4 , 2ND FLOOR, MALVIYA NAGAR, NEW DELHI 110017</t>
  </si>
  <si>
    <t>GULSHAN KAUR (RSA PEALTY PVT LTD)</t>
  </si>
  <si>
    <t xml:space="preserve">H.NO. 360, SECTOR 23, DLF COLONY, ROHTAK </t>
  </si>
  <si>
    <t>SAURABH NAND KISHORE SHARMA</t>
  </si>
  <si>
    <t>HOUSE NO. 509, SECTOR 9, NEAR GYAN DEVI MONTESSORY SCHOOL GURGAON , HARYANA 122001</t>
  </si>
  <si>
    <t>RISHI GUPTA</t>
  </si>
  <si>
    <t>HOUSE NO . S6/10, DLF PHASE 3, GURGAON 122002, HARYANA</t>
  </si>
  <si>
    <t>NEENA GUPTA</t>
  </si>
  <si>
    <t>R/O BANSAL INDUSTRIES, JIND ROAD , KAITHAL</t>
  </si>
  <si>
    <t>HARISH CHAND ARORA</t>
  </si>
  <si>
    <t>H.NO. 249-B, NEW PREM NAGAR, NEAR HANUMAN MANDIR , 132001</t>
  </si>
  <si>
    <t>UCO bank on behalf of homebuyers</t>
  </si>
  <si>
    <t>VIJAY PAL</t>
  </si>
  <si>
    <t>HOUSE NO. 334, VPO CHOCHRAN, KARNAL 132039</t>
  </si>
  <si>
    <t>NASIB SINGH</t>
  </si>
  <si>
    <t>HOUSE NO. 1254, SECTOR 9, KARNAL 132001</t>
  </si>
  <si>
    <t>VINOD KUMAR</t>
  </si>
  <si>
    <t>1322, SEC. 9 , KARNAL</t>
  </si>
  <si>
    <t>BIMLA</t>
  </si>
  <si>
    <t>H.NO. B002 , PALM RESIDENCY, SECTOR 36, KARNAL</t>
  </si>
  <si>
    <t>SIMMI GUPTA</t>
  </si>
  <si>
    <t>353, ASHOKA COLONY , KARNAL</t>
  </si>
  <si>
    <t>PANKAJ GUPTA</t>
  </si>
  <si>
    <t>WARD NO. 22 , SHAKTI COLONY , HNO73 , KARNAL</t>
  </si>
  <si>
    <t>GOPA RANI</t>
  </si>
  <si>
    <t xml:space="preserve">HOUSE NO. 54, KASBA WARD NO. 2 , R K PURAM , KARNAL , HARYANA </t>
  </si>
  <si>
    <t xml:space="preserve">NIVEDITA AND RANDEEP CHAWLA </t>
  </si>
  <si>
    <t>HOUSE NO. 822, FIRST FLOOR , SECTOR 11 , PANCHKULA</t>
  </si>
  <si>
    <t>GAURAV SHARMA</t>
  </si>
  <si>
    <t>#277 , NARSI VILLAGE , PART 1 SECTOR 32,, KARNAL</t>
  </si>
  <si>
    <t>INTEREST</t>
  </si>
  <si>
    <t xml:space="preserve">COMPENSATION </t>
  </si>
  <si>
    <t>LITIGATION</t>
  </si>
  <si>
    <t>INTEREST CLAIM</t>
  </si>
  <si>
    <t>TOTAL CLAIM</t>
  </si>
  <si>
    <t>Principal amount as per CD</t>
  </si>
  <si>
    <t>Principal admitted</t>
  </si>
  <si>
    <t>Interest admitted</t>
  </si>
  <si>
    <t>Total amount admitted</t>
  </si>
  <si>
    <t>TOTAL AMOUNT OF RECEIPTS PROVIDED</t>
  </si>
  <si>
    <t>CASH RECEIPTS</t>
  </si>
  <si>
    <t>THROUGH CHEQUE/RTGS/NEFT/TRANSFER</t>
  </si>
  <si>
    <t>SKY HIGH RECEIPTS</t>
  </si>
  <si>
    <t>Last Payment Date</t>
  </si>
  <si>
    <t>Loan Account No.</t>
  </si>
  <si>
    <t>LOAN AMOUNT</t>
  </si>
  <si>
    <t>Date of Allotment letter</t>
  </si>
  <si>
    <t>Date of possession (3 yrs from the date of signing of allotment letter</t>
  </si>
  <si>
    <t>Period of Interest</t>
  </si>
  <si>
    <t>No. of quarter</t>
  </si>
  <si>
    <t>Interest @8%</t>
  </si>
  <si>
    <t>AMT OF INTT. ON PRINCIPAL CLAIM @ 8%</t>
  </si>
  <si>
    <t>AMT OF INTT. ON PRINCIPAL ADMITTED @ 8%</t>
  </si>
  <si>
    <t>TOTAL OF PRINCIPAL CLAIM AND INTEREST  ON PRINCIPAL ADMITTED</t>
  </si>
  <si>
    <t>COST OF LITIGATION</t>
  </si>
  <si>
    <t>TOTAL AMOUNT CLAIMED</t>
  </si>
  <si>
    <t>AMOUNT ADMITTED INCLUDING INT. COMP, LITIG.</t>
  </si>
  <si>
    <t>23/04/2012</t>
  </si>
  <si>
    <t>10/01/2015 (As per receipts provided)</t>
  </si>
  <si>
    <t>30/06/2015(18 months as mentioned in the allotment letter)</t>
  </si>
  <si>
    <t>17/08/2015</t>
  </si>
  <si>
    <t>2327321 vide MOU</t>
  </si>
  <si>
    <t>03/5/2013 (For Flat no. 301,P-04) and 16/7/2013 (for Flat no. 701,P-19)</t>
  </si>
  <si>
    <t>16/06/2013</t>
  </si>
  <si>
    <t>25/3/2013</t>
  </si>
  <si>
    <t>18/01/2014</t>
  </si>
  <si>
    <t>19/8/2014</t>
  </si>
  <si>
    <t>28/5/2015</t>
  </si>
  <si>
    <t>19/5/2014</t>
  </si>
  <si>
    <t>20/1/2013</t>
  </si>
  <si>
    <t>P-15 08/06/2013
P-9 11/08/2013</t>
  </si>
  <si>
    <t xml:space="preserve">IF WE CALCULATE INTT. IT WE DOUBLED </t>
  </si>
  <si>
    <t>20.01.2014</t>
  </si>
  <si>
    <t>19/10/13</t>
  </si>
  <si>
    <t>28/03/2013</t>
  </si>
  <si>
    <t>14/06/2014</t>
  </si>
  <si>
    <t>27/03/2015</t>
  </si>
  <si>
    <t>26/02/2015</t>
  </si>
  <si>
    <t>23/05/2016</t>
  </si>
  <si>
    <t>25/09/2013</t>
  </si>
  <si>
    <t>25/04/2014</t>
  </si>
  <si>
    <t>26/06/2012</t>
  </si>
  <si>
    <t>RAJESH</t>
  </si>
  <si>
    <t>13/05/2013</t>
  </si>
  <si>
    <t>15/04/2014</t>
  </si>
  <si>
    <t>RA</t>
  </si>
  <si>
    <t>24/12/2015</t>
  </si>
  <si>
    <t>23/10/2013</t>
  </si>
  <si>
    <t>15/10/2013</t>
  </si>
  <si>
    <t xml:space="preserve">                                                                                                    </t>
  </si>
  <si>
    <t>Principal Amount Claimed</t>
  </si>
  <si>
    <t>INTEREST AS PER ORDER</t>
  </si>
  <si>
    <t>AMOUNT UNDER VERIFICATION</t>
  </si>
  <si>
    <t>UPDESH RANI</t>
  </si>
  <si>
    <t xml:space="preserve">AMOUNT ADMITTED INCLUDING INT. </t>
  </si>
  <si>
    <t>PRINCIPAL ADMITTED</t>
  </si>
  <si>
    <t>Interest admitted at the rate of 8%</t>
  </si>
  <si>
    <t>Interest Claim</t>
  </si>
  <si>
    <t>Principal Verified/Amount Verified</t>
  </si>
  <si>
    <t>Claim Admitted (Rs.)</t>
  </si>
  <si>
    <t>AKME Projects Limited</t>
  </si>
  <si>
    <t>18th April,2018</t>
  </si>
  <si>
    <t>31-03-2016</t>
  </si>
  <si>
    <t>RP replacement date</t>
  </si>
  <si>
    <t>24th September,2019</t>
  </si>
  <si>
    <t>Nini Nanda</t>
  </si>
  <si>
    <t>Vineet Gehani &amp; Vani Gehani</t>
  </si>
  <si>
    <t>Dipika Vasdev</t>
  </si>
  <si>
    <t>Arun Anand</t>
  </si>
  <si>
    <t>Sajjan Kumar Agarwal</t>
  </si>
  <si>
    <t>Sangeeta Arora</t>
  </si>
  <si>
    <t>Surinder Kaur &amp; Devinder Pal Singh</t>
  </si>
  <si>
    <t>Sandeep Agarwal</t>
  </si>
  <si>
    <t>Rakesh Sarin &amp; Bala Sarin</t>
  </si>
  <si>
    <t>Ratna Sharma &amp; Sudhir Kumar Sharma</t>
  </si>
  <si>
    <t>Rajarajan Viswanathan</t>
  </si>
  <si>
    <t>Rajesh Kumar Gupta</t>
  </si>
  <si>
    <t>Rajeev Mahajan &amp; Rohit Savara</t>
  </si>
  <si>
    <t>Rekha Yadav</t>
  </si>
  <si>
    <t>Ravi Kothari &amp; Sohan Lal Kothari</t>
  </si>
  <si>
    <t>Prem Kumar Goyal</t>
  </si>
  <si>
    <t>Prasoon Chauhan</t>
  </si>
  <si>
    <t>Nirbhai Singh &amp; Jarnail Singh</t>
  </si>
  <si>
    <t>Naveen Chitkara</t>
  </si>
  <si>
    <t>Nitin Gulati &amp; Aarti Gulati</t>
  </si>
  <si>
    <t>Navnitya Parkash Goyal</t>
  </si>
  <si>
    <t>Vijay Kumar Tanwar</t>
  </si>
  <si>
    <t>Vikas Sharma &amp; Divya Sharma</t>
  </si>
  <si>
    <t>Tripta Agarwal &amp; Arvind Kumar Agarwal</t>
  </si>
  <si>
    <t>Tarun Chawla &amp; Khushi Vats</t>
  </si>
  <si>
    <t>Laxman Aggarwal</t>
  </si>
  <si>
    <t>Himanshu Shekhar</t>
  </si>
  <si>
    <t>Mahesh Dutt Kala</t>
  </si>
  <si>
    <t>Amit Kumar</t>
  </si>
  <si>
    <t>Ravinder Aggarwal</t>
  </si>
  <si>
    <t>Aqueel Ahmad</t>
  </si>
  <si>
    <t>Jag Pal Singh</t>
  </si>
  <si>
    <t>Divya Jindal</t>
  </si>
  <si>
    <t>Amit Krishan Luthra &amp; Praketa Luthra</t>
  </si>
  <si>
    <t>Adarsh Kumar</t>
  </si>
  <si>
    <t>Arvind Kochar</t>
  </si>
  <si>
    <t>Amandeep Sachdeva</t>
  </si>
  <si>
    <t>Sunita Bakshi</t>
  </si>
  <si>
    <t>Shailja Sharma</t>
  </si>
  <si>
    <t>Shruti Sud</t>
  </si>
  <si>
    <t>Cristina Patnaik</t>
  </si>
  <si>
    <t>Maya Patnaik</t>
  </si>
  <si>
    <t>Priyanka Jain</t>
  </si>
  <si>
    <t>Dinesh Upadhyay</t>
  </si>
  <si>
    <t>Aayush Mattoo</t>
  </si>
  <si>
    <t>Neeru Bansal</t>
  </si>
  <si>
    <t>Sumit Ginglani</t>
  </si>
  <si>
    <t>Veni Rastogi Gupta</t>
  </si>
  <si>
    <t>Golden Realtors Private Limited</t>
  </si>
  <si>
    <t>Sanjay Kumar</t>
  </si>
  <si>
    <t>Rahul Nahar</t>
  </si>
  <si>
    <t>Namita Mahajan</t>
  </si>
  <si>
    <t>Sachin Chhabra</t>
  </si>
  <si>
    <t>Kamayani Kanwar</t>
  </si>
  <si>
    <t>Chetan Agarwal</t>
  </si>
  <si>
    <t>Amit Sodhi</t>
  </si>
  <si>
    <t>Nand Kumar Singh</t>
  </si>
  <si>
    <t>Manjeet Kaur</t>
  </si>
  <si>
    <t>Mridul Goel</t>
  </si>
  <si>
    <t>Mridul Goel HUF</t>
  </si>
  <si>
    <t>Kanupriya Arora</t>
  </si>
  <si>
    <t>Jossy John</t>
  </si>
  <si>
    <t>Rimple Dhiraaj</t>
  </si>
  <si>
    <t>Asst. Commisioner of Income Tax Central Circle - 15, Delhi</t>
  </si>
  <si>
    <t>Room No. 245, 2nd Floor, E-2, ARA Centre, Jhandewalan, New Delhi</t>
  </si>
  <si>
    <t>Mohit Agarwal</t>
  </si>
  <si>
    <t>MAAS</t>
  </si>
  <si>
    <t>Luthra &amp; Luthra Law Offices</t>
  </si>
  <si>
    <t>Luthra &amp; Luthra Law Chartered Accountants (Firm)</t>
  </si>
  <si>
    <t>Kuljit Singh Saini</t>
  </si>
  <si>
    <t>Elite Industrial security services</t>
  </si>
  <si>
    <t>Balram Corporate Services Pvt Ltd</t>
  </si>
  <si>
    <t>Brijesh Sahni</t>
  </si>
  <si>
    <t>Azad Bhatia</t>
  </si>
  <si>
    <t>Acquisory Consulting LLP</t>
  </si>
  <si>
    <t>Tirath Ram Ahuja Pvt. Ltd.</t>
  </si>
  <si>
    <t>S.N Dhawan &amp; Co. LLP</t>
  </si>
  <si>
    <t>RDC Concrete (India) Private Limited</t>
  </si>
  <si>
    <t>Pradeep Singh</t>
  </si>
  <si>
    <t>Power2sme Private Limited</t>
  </si>
  <si>
    <t>M/s I R Realtech Pvt. Ltd</t>
  </si>
  <si>
    <t>Alamak Capital</t>
  </si>
  <si>
    <t>Messrs OCS Group (India) Pvt. Ltd.</t>
  </si>
  <si>
    <t>Prism Johnson Limited</t>
  </si>
  <si>
    <t>GI Power Corporation Limited</t>
  </si>
  <si>
    <t>Flat No. F-2, Plot No. - 89, Sector 6, Vaishali, Ghaziabad</t>
  </si>
  <si>
    <t>D-229, Basement Sarvodya Enclave, New Delhi-110017</t>
  </si>
  <si>
    <t>Law offices 103, Ashoka Estate, Barakhamba Road, ND</t>
  </si>
  <si>
    <t>A-16/9, Vasant Vihar, New Delhi</t>
  </si>
  <si>
    <t>Village Naimatpur, PO Shamdoo, Tehsil Rajpura, Distt Patiala 
ALSO AT:-
45, Imperial Court, Monroe Township, New Jersy, USA</t>
  </si>
  <si>
    <t>I-18, Lajpat Nagar -3, New Delhi</t>
  </si>
  <si>
    <t>No. 20 Kaveri Layout, Balram Central, Harlur Road, Kundlu Village, Bangalore</t>
  </si>
  <si>
    <t>H.No. 597, Sector 22, NIT Faridabad, Haryana</t>
  </si>
  <si>
    <t>Fortune City, Chandigarh Road NH-95, Jandiali, Ludhiana, Punjab</t>
  </si>
  <si>
    <t>Unit No. 1116, 11th Floor, WTT, Sector-16, Noida
OR
B-18, 1st floor, defense colony, New delhi</t>
  </si>
  <si>
    <t>11, Friends Colony, West, New Delhi</t>
  </si>
  <si>
    <t>410, Ansal Bhawan, 16 K.G Marg, New Delhi</t>
  </si>
  <si>
    <t>7th Floor, Thane One Corporate IT Park, DIL Complex, Ghodbunder Road, Thane (West), 400610</t>
  </si>
  <si>
    <t>No. TF-07, Third Floor, City Point, 13, Infantry Road, Bengaluru, Karnataka-560001</t>
  </si>
  <si>
    <t>Plot No. 88, Udyog Vihar, Phase -4, Gurugram, Haryana- 122015</t>
  </si>
  <si>
    <t>Office No. 403, 4th Floor Star Infinity Tower Plot No. 14, Sector 114, Seemant Vihar, Kaushambi, Ghaziabad</t>
  </si>
  <si>
    <t>C-56, Basement, Soami Nagar, New Delhi-110017</t>
  </si>
  <si>
    <t>501, Thane One, Ghodbunder Road, Majiwada, Thane West</t>
  </si>
  <si>
    <t>64/B, Mittal Tower, Nariman Point, Mumbai, Maharashtra</t>
  </si>
  <si>
    <t xml:space="preserve">Hari kishan Sharma </t>
  </si>
  <si>
    <t>Gowri Sankari J</t>
  </si>
  <si>
    <t>Gangadhar V</t>
  </si>
  <si>
    <t>D Joyce Helen Rani</t>
  </si>
  <si>
    <t>B.C. Yogananda</t>
  </si>
  <si>
    <t>Anis Ahmed N K</t>
  </si>
  <si>
    <t>Amandeep Singh</t>
  </si>
  <si>
    <t>Ankur Garg</t>
  </si>
  <si>
    <t>Rajesh Kumar</t>
  </si>
  <si>
    <t>Rajiv Sharma</t>
  </si>
  <si>
    <t>Prisikila L</t>
  </si>
  <si>
    <t>Puttar Ravi</t>
  </si>
  <si>
    <t>Mohit Aggarwal</t>
  </si>
  <si>
    <t>Manoj Kumar</t>
  </si>
  <si>
    <t>Mahendra B</t>
  </si>
  <si>
    <t>Kumaran A</t>
  </si>
  <si>
    <t>Jatin Khanna</t>
  </si>
  <si>
    <t>Jitendra Pandey</t>
  </si>
  <si>
    <t>Vineet Nanda</t>
  </si>
  <si>
    <t>Vivek Gupta</t>
  </si>
  <si>
    <t>Sunil Kumar Menon</t>
  </si>
  <si>
    <t>Sonal Tambi w/o Vijay Rawat</t>
  </si>
  <si>
    <t>Sudhir Sud</t>
  </si>
  <si>
    <t>Saral Prasanna Kumar</t>
  </si>
  <si>
    <t>Rajesh Bahadur Chopra</t>
  </si>
  <si>
    <t>Ramanjot Singh</t>
  </si>
  <si>
    <t>Vineet Kumar</t>
  </si>
  <si>
    <t>Ajay Pal Chauhan</t>
  </si>
  <si>
    <t>Saurabh Lamba</t>
  </si>
  <si>
    <t>Sudhanshu Singh</t>
  </si>
  <si>
    <t xml:space="preserve">36/1,krishna Nagar(bagu)NH 24, Ghaziabad </t>
  </si>
  <si>
    <t>SAMRUDHI,472A, 5th main, 14th Cross,byrasandra road, GM Palya, New Thippasandra Post, Bengaluru,560075</t>
  </si>
  <si>
    <t>27 C Cross pipe line Basappa Garden Malleswaram Bangalore-03</t>
  </si>
  <si>
    <t>171, 4th cross, RR Layout. Doorvani Nagar, Vijanapura, Bangalore - 560016</t>
  </si>
  <si>
    <t>554, 7TH Main V Cross, Vijaynagar, Bangalore - 560040</t>
  </si>
  <si>
    <t>No. 15, Flat No. B3, Kumar Residency, 3rd Floor, 6th Floor, Adarsh Nagar, Kaval Byrasandra, RT Nagar Post Bangalore</t>
  </si>
  <si>
    <t>HIG - 808, Phase - 2, Mohali, Punjab</t>
  </si>
  <si>
    <t>d-226-a, Canal View Enclave, Southern by Pass, Bulara, Ludhiana, Punjab</t>
  </si>
  <si>
    <t>A 1203, the Hyde Park, Sector 78, Noida, UP - 201301</t>
  </si>
  <si>
    <t>D-62, Nawada Housing Complex, Kakrola Moad, New Delhi - 110059</t>
  </si>
  <si>
    <t>Flat No. , Tower D, Satyam Apartment, Swastik Vihar, Zirakpur, Mohali, Punjab - E23</t>
  </si>
  <si>
    <t>#23, Christ Home Opp to ECI Church Borewell Road, Annasandrapalya, Hal Post, Bangalore</t>
  </si>
  <si>
    <t>No. 2217, Ground Floor, 12th main "A" Block - Subramanya Nagar, Bangalore - 560010</t>
  </si>
  <si>
    <t>Flat No. F - 2, Plot No. - 89, Sector - 6, Vaishali, Ghaziabad - 201012</t>
  </si>
  <si>
    <t>Road No. 7, Behind Central School, Siddharth Nagar, Partapur Chaudhary, Bariely, UP - 243122</t>
  </si>
  <si>
    <t>71, 1st cross, Bayyanna layout, Bhattarahalli Virgonagar (PO), Bangalore - 560049</t>
  </si>
  <si>
    <t>#145, Siddartha Nagar, Dr. TCM, Royab Road, Bangalore - 560053</t>
  </si>
  <si>
    <t>Plot No. 52, Flat No. 106, Supertech 4, sector 5, Rajinder Nagar, Sahibabad, Ghaziabad, UP</t>
  </si>
  <si>
    <t>FF - 22, Siddha Vinayk Appartment, Abhay Khand - 3, Indrapuram, Ghaziabad - 201014</t>
  </si>
  <si>
    <t>B - 435, 1st floor, New friends colony, New Delhi - 110065</t>
  </si>
  <si>
    <t>1211, Tower - 11, Purwanchal Royal Park, Sector - 137, Noida, UP - 201304</t>
  </si>
  <si>
    <t>77, defensce colony, 2nd main, 1st cross, Indira Nagar, Bangaore - 560038, Karnataka</t>
  </si>
  <si>
    <t>H.No. 338, Housing Board Colony, Saraswati Vihar, Gurgaon</t>
  </si>
  <si>
    <t>L - 5, Green park main, New Delhi - 110016</t>
  </si>
  <si>
    <t>16, 2nd cross, ITC colony, Cox town, Jeevanahalli, Bangalore</t>
  </si>
  <si>
    <t>H.No. 1460, Sector 28, Faridabad - 121008</t>
  </si>
  <si>
    <t>N-20, Mohan Garden, Gurudwara Road, Uttam Nagar, New Delhi - 110059</t>
  </si>
  <si>
    <t>H.No. G-58, Gali No. 3, 40 ET road, Molarband Extension, Badrapur border, New delhi - 110044</t>
  </si>
  <si>
    <t>H.No. 1302, Gali No. 4, New Baswlva Colony, Old Faridabad - 121002</t>
  </si>
  <si>
    <t>H.No. 1696/1, Gaushala Road, Ward No. 10, Ropar, Punjab - 140001</t>
  </si>
  <si>
    <t>Near Pani ki Tanki, Surender Nagar, Aligarh</t>
  </si>
  <si>
    <r>
      <t xml:space="preserve">Plot No. C-40, Site –C, Surajpur Industrial Area,Greater Noida, Gautam Budh Nagar, Uttar Pradesh-201306
                                                                                                                               </t>
    </r>
    <r>
      <rPr>
        <b/>
        <sz val="11"/>
        <color theme="1"/>
        <rFont val="Cambria"/>
        <family val="1"/>
        <scheme val="major"/>
      </rPr>
      <t xml:space="preserve"> OR
</t>
    </r>
    <r>
      <rPr>
        <sz val="11"/>
        <color theme="1"/>
        <rFont val="Cambria"/>
        <family val="1"/>
        <scheme val="major"/>
      </rPr>
      <t xml:space="preserve">Windsor, 7th Floor, C.S.T Road, Near Kalina, Santacruz, Mumbai
                                                                                                                                </t>
    </r>
    <r>
      <rPr>
        <b/>
        <sz val="11"/>
        <color theme="1"/>
        <rFont val="Cambria"/>
        <family val="1"/>
        <scheme val="major"/>
      </rPr>
      <t xml:space="preserve">OR
</t>
    </r>
    <r>
      <rPr>
        <sz val="11"/>
        <color theme="1"/>
        <rFont val="Cambria"/>
        <family val="1"/>
        <scheme val="major"/>
      </rPr>
      <t>305, Laxami Niwas Apartment, Amreepet, Hyderabad</t>
    </r>
  </si>
  <si>
    <t xml:space="preserve">Yes Bank </t>
  </si>
  <si>
    <t>Phoenix ARC Private Limited</t>
  </si>
  <si>
    <t>HDFC LIMITED</t>
  </si>
  <si>
    <t>Address of Financial Creditor</t>
  </si>
  <si>
    <t>Name of Financial Creditor</t>
  </si>
  <si>
    <t>48, Nyaya Marg, Chanakya Puri, New Delhi-110021</t>
  </si>
  <si>
    <t>5th Floor, Dani Corporate Park, 158, CST Road, Kalina, Santacruz (E), Mumbai-400098</t>
  </si>
  <si>
    <t>The Capital Court, Ol of Palme Marg, Outer Ring Road, Munirka, Delhi-110067</t>
  </si>
  <si>
    <t>Unsecured Financial Creditors</t>
  </si>
  <si>
    <t xml:space="preserve">Abhay Kumar
(Authorized Representative for the class of Home Buyers)
</t>
  </si>
  <si>
    <t>Yes</t>
  </si>
  <si>
    <t>No</t>
  </si>
  <si>
    <t>Home Buyers being related party (without voting rights)</t>
  </si>
  <si>
    <t>Name of Home Buyer</t>
  </si>
  <si>
    <t xml:space="preserve">Project Details  </t>
  </si>
  <si>
    <t>Date of Flat Buyer Agreement (DD/MM/YYYY)</t>
  </si>
  <si>
    <t>Date of Possession   (Clause 4.1: within 6 months after the expiry of 36 months from the date of execution flat buyers agreement)</t>
  </si>
  <si>
    <t>Date of CIRP</t>
  </si>
  <si>
    <t>No of Days for Calculating Interest (from the date of possession to date of CIRP)</t>
  </si>
  <si>
    <t>Ashish Bhatia &amp; Manila Bhatia</t>
  </si>
  <si>
    <t>Balvinder Kaur &amp; Kuldip Singh Virdi</t>
  </si>
  <si>
    <t>Bapi Datta / Anamika Datta</t>
  </si>
  <si>
    <t>Chandra Pratap Singh / Manoj Kumar / Vishal Verma</t>
  </si>
  <si>
    <t>Devinder Kumar &amp; Usha Gupta</t>
  </si>
  <si>
    <t>Dinesh Kumar Jindal</t>
  </si>
  <si>
    <t>G. Thiagarajan &amp; T. Shanthi</t>
  </si>
  <si>
    <t>Gopal Krishna &amp; Asha Rani</t>
  </si>
  <si>
    <t>Gagan Agrawal &amp; Ruchi Agarwal</t>
  </si>
  <si>
    <t>Gayatree Anand &amp; Renu Anand</t>
  </si>
  <si>
    <t>Harpreet Singh Sethi &amp; Narinder Singh Sethi</t>
  </si>
  <si>
    <t>Ishwar Anand Yadav &amp; Suman Yadav</t>
  </si>
  <si>
    <t>Jogesh Sahni &amp; Monica Sahni</t>
  </si>
  <si>
    <t>Kishan Kumar  Gupta &amp; Mithlesh Gupta</t>
  </si>
  <si>
    <t>Manab Dutta &amp; Jayati Dutta</t>
  </si>
  <si>
    <t>Manvdeep Singh</t>
  </si>
  <si>
    <t>Madhu Mishra &amp; Chandra Shekhar Mishra &amp; Jay Prakash Mishra</t>
  </si>
  <si>
    <t>Manoj Kumar &amp; Manvi Kumar</t>
  </si>
  <si>
    <t>Narinder Sharawat</t>
  </si>
  <si>
    <t>Naresh Kumar Talwar &amp; Ritu Talwar</t>
  </si>
  <si>
    <t>Rajesh Choudhary &amp; Ram Singh Choudhary</t>
  </si>
  <si>
    <t>Rajeev Aggarwal &amp; Amita Aggrawal</t>
  </si>
  <si>
    <t>Rakesh Kumar Mehta</t>
  </si>
  <si>
    <t>Rahul Arora &amp; Saroj Arora</t>
  </si>
  <si>
    <t>Ritu Kapoor, Munish Mehta &amp; Saurabh Arora</t>
  </si>
  <si>
    <t>S Shankar</t>
  </si>
  <si>
    <t>Sunil Kumar Bhat &amp; Anita Bhat</t>
  </si>
  <si>
    <t>Sunil Arora</t>
  </si>
  <si>
    <t xml:space="preserve">Sunil Trehun &amp; V.K Trehun, </t>
  </si>
  <si>
    <t>Shishir Agarwal &amp; Ankita Agarwal</t>
  </si>
  <si>
    <t>Seema Chaturvedi</t>
  </si>
  <si>
    <t>Shalini Bawa Anand &amp; Vishal Anand</t>
  </si>
  <si>
    <t>Tason Holdings Pvt. Ltd</t>
  </si>
  <si>
    <t>Veena Gupta</t>
  </si>
  <si>
    <t>Kailash Kumari &amp; Tulsi Dass Saluja</t>
  </si>
  <si>
    <t>Arun Kharb &amp; Mrs. Sarita Sangwan</t>
  </si>
  <si>
    <t>Manoj Rajpal &amp; Mrs. Nisha Rajpal</t>
  </si>
  <si>
    <t>Sangeeta Arya</t>
  </si>
  <si>
    <t>Ms. Poonam Munjal &amp; Prem Munjal</t>
  </si>
  <si>
    <t>Mr. Aditya Mehta</t>
  </si>
  <si>
    <t>Mr. Sandeep Maurya</t>
  </si>
  <si>
    <t>Mr. Sanjay Kumar Sehgal</t>
  </si>
  <si>
    <t>Mrs. Anita Yadav</t>
  </si>
  <si>
    <t>Mrs. Bina Ramani Kewal</t>
  </si>
  <si>
    <t>Mr. Sandeep Garg/Ranjana</t>
  </si>
  <si>
    <t>Ms. Shikha Trehan</t>
  </si>
  <si>
    <t>Mr. Abhishek Dhingra</t>
  </si>
  <si>
    <t xml:space="preserve">Mallika Batra &amp; Charanjeev Batra </t>
  </si>
  <si>
    <t xml:space="preserve">Sanjay Gupta </t>
  </si>
  <si>
    <t xml:space="preserve">Rajesh Jain </t>
  </si>
  <si>
    <t xml:space="preserve">Sumeet Dhiman &amp; Vineeta Dhiman </t>
  </si>
  <si>
    <t>Ajit Singh Sethi</t>
  </si>
  <si>
    <t>Himanshu Aggarwal</t>
  </si>
  <si>
    <t>Sanjay Jain</t>
  </si>
  <si>
    <t>Gurmukh S Asnani</t>
  </si>
  <si>
    <t>Dwijinder Parkash/mohinder Parkash</t>
  </si>
  <si>
    <t>Abhinay Vaidya/ Madhu Vaidya</t>
  </si>
  <si>
    <t>Nisha Rani Bansal/satish Chander</t>
  </si>
  <si>
    <t>Kirti Nidhi Vig</t>
  </si>
  <si>
    <t>Zara Buildcon Pvt Ltd</t>
  </si>
  <si>
    <t>Arun Kumar Puri</t>
  </si>
  <si>
    <t>Shahab Rizvi /Raj Deepak Varshney</t>
  </si>
  <si>
    <t>Lubna Rehman and Mafzur Rehman</t>
  </si>
  <si>
    <t>Munish Dayal Mathur</t>
  </si>
  <si>
    <t>Joy Realtors Pvt.Ltd</t>
  </si>
  <si>
    <t>Shailesh Kant Sharma</t>
  </si>
  <si>
    <t>Kusum Garg</t>
  </si>
  <si>
    <t>Mohammad Umer Ansari</t>
  </si>
  <si>
    <t>Manisha Sachdeva/ Sabrina Sachdeva</t>
  </si>
  <si>
    <t>Vipul Sharma</t>
  </si>
  <si>
    <t>Babulal Swami &amp; Kanta Devi</t>
  </si>
  <si>
    <t>Tilak Raj Ganga Ram /pushpa Tilakraj</t>
  </si>
  <si>
    <t>Santokh Singh Ent.P.Ltd.</t>
  </si>
  <si>
    <t>Naresh Kumar Tilak Raj Bahri</t>
  </si>
  <si>
    <t>Sanjiv Ramesh Kochhar</t>
  </si>
  <si>
    <t>Asha Garg</t>
  </si>
  <si>
    <t>Harinder Singh</t>
  </si>
  <si>
    <t>Deepali Chandhoke</t>
  </si>
  <si>
    <t>Gaurav Bakshi</t>
  </si>
  <si>
    <t>Sudhir Sharma</t>
  </si>
  <si>
    <t>UNDER VERIFICATION</t>
  </si>
  <si>
    <t>Sonal Anand</t>
  </si>
  <si>
    <t xml:space="preserve">Godawri Capital Private Limited </t>
  </si>
  <si>
    <t>Sawallka Autotech Private Limited</t>
  </si>
  <si>
    <t>Waryam Singh</t>
  </si>
  <si>
    <t>Claim Verified (Rs)</t>
  </si>
  <si>
    <t>Amount admitted excluding service tax (Anurag)</t>
  </si>
  <si>
    <t>Interest Amount @8 %(Anuraag)</t>
  </si>
  <si>
    <t>Total Admitted Amount (Principal+Interest)(Anuraag)</t>
  </si>
  <si>
    <t>Received Claims</t>
  </si>
  <si>
    <t>Interest @ 8% as per Received Claims</t>
  </si>
  <si>
    <t>Book value as per Tally</t>
  </si>
  <si>
    <t>Amount as per Receipt</t>
  </si>
  <si>
    <t>related party relation</t>
  </si>
  <si>
    <t>C-1203</t>
  </si>
  <si>
    <t>B-1402</t>
  </si>
  <si>
    <t>The difference in amount is due to inclusion of service tax. The amount admitted is excluding service tax of Rs. 13670</t>
  </si>
  <si>
    <t>Anurag Upadhyaya &amp; Bhavna Upadhyaya</t>
  </si>
  <si>
    <t>D-903</t>
  </si>
  <si>
    <t>The difference in amount is due to inclusion of service tax. The amount admitted is excluding service tax of Rs. 12734</t>
  </si>
  <si>
    <t>C-1002</t>
  </si>
  <si>
    <t>The claimant has calculated (addition done is wrong (the amount wrong. The amount should be Rs. 5157979</t>
  </si>
  <si>
    <t xml:space="preserve">Anuradha Kapoor </t>
  </si>
  <si>
    <t>C-1401</t>
  </si>
  <si>
    <t>One payment of Rs 83350 is done in cash which we have not accepted in the claim. And there is difference of Rs. 147 in amount as per tally and in amount as per receipt. The receipt is of more amount so that claim is accepted from the amount as per receipt.</t>
  </si>
  <si>
    <t>A-503</t>
  </si>
  <si>
    <t>F-1802</t>
  </si>
  <si>
    <t>Receipts are only available for Rs 7681411. So the amount admitted is 7681411</t>
  </si>
  <si>
    <t>may be brother of Rajiv Luthra ( director)</t>
  </si>
  <si>
    <t>Akhilesh Kumar Gupta and Ruchi Gupta</t>
  </si>
  <si>
    <t>F-1702</t>
  </si>
  <si>
    <t>Claimed TDS and Penalty in claim</t>
  </si>
  <si>
    <t xml:space="preserve">may be patner of Amit Luthra </t>
  </si>
  <si>
    <t>B-1703</t>
  </si>
  <si>
    <t>D-1402</t>
  </si>
  <si>
    <t>Amit Yadav and Dr Munesh Yadav</t>
  </si>
  <si>
    <t>B-702</t>
  </si>
  <si>
    <t>Amit Verma( Sunita Dagar- Payments also made by her</t>
  </si>
  <si>
    <t>C-101</t>
  </si>
  <si>
    <t>Anant Pokhrana and Rampal Rathi</t>
  </si>
  <si>
    <t>B-1101</t>
  </si>
  <si>
    <t>Amit Gupta and Rachita Gupta</t>
  </si>
  <si>
    <t xml:space="preserve"> D-1202</t>
  </si>
  <si>
    <t xml:space="preserve">Mr. Ajay Kumar Agarwal </t>
  </si>
  <si>
    <t>E-1503</t>
  </si>
  <si>
    <t>E-902</t>
  </si>
  <si>
    <t>Claiming less amount, excluding service tax from total paymant</t>
  </si>
  <si>
    <t>D-702</t>
  </si>
  <si>
    <t>B-1502</t>
  </si>
  <si>
    <t>A-102</t>
  </si>
  <si>
    <t>G-1401 E-1701</t>
  </si>
  <si>
    <t>may be partner of Rajiv Luthra</t>
  </si>
  <si>
    <t>E-1402</t>
  </si>
  <si>
    <t>B-602</t>
  </si>
  <si>
    <t>B-1401</t>
  </si>
  <si>
    <t>A-401</t>
  </si>
  <si>
    <t>A-1002</t>
  </si>
  <si>
    <t>F-1503</t>
  </si>
  <si>
    <t>A-203</t>
  </si>
  <si>
    <t>B-103</t>
  </si>
  <si>
    <t>Claim less than received in tally</t>
  </si>
  <si>
    <t>C-503</t>
  </si>
  <si>
    <t>A-601</t>
  </si>
  <si>
    <t>B-402</t>
  </si>
  <si>
    <t>C-803</t>
  </si>
  <si>
    <t>D-403</t>
  </si>
  <si>
    <t>E-1403</t>
  </si>
  <si>
    <t>C-601</t>
  </si>
  <si>
    <t>B-302</t>
  </si>
  <si>
    <t>B-403</t>
  </si>
  <si>
    <t>D-1802</t>
  </si>
  <si>
    <t>A-002</t>
  </si>
  <si>
    <t>D-303</t>
  </si>
  <si>
    <t>B-1603</t>
  </si>
  <si>
    <t>D-102</t>
  </si>
  <si>
    <t>B-102</t>
  </si>
  <si>
    <t>Claim including interest and penality</t>
  </si>
  <si>
    <t>B-1403</t>
  </si>
  <si>
    <t>E-1003</t>
  </si>
  <si>
    <t>F-1403</t>
  </si>
  <si>
    <t>Claim includes TDS</t>
  </si>
  <si>
    <t>A-101</t>
  </si>
  <si>
    <t>Claim less than recived in Tally</t>
  </si>
  <si>
    <t>A-103</t>
  </si>
  <si>
    <t>F-102</t>
  </si>
  <si>
    <t>D-602</t>
  </si>
  <si>
    <t>YES BANK EMPLOYEE  VICE PRESIDENT</t>
  </si>
  <si>
    <t>A-1103</t>
  </si>
  <si>
    <t>check for undervalued</t>
  </si>
  <si>
    <t>B-703</t>
  </si>
  <si>
    <t>A-802</t>
  </si>
  <si>
    <t>C-401</t>
  </si>
  <si>
    <t>B-201</t>
  </si>
  <si>
    <t>B-1601</t>
  </si>
  <si>
    <t>G-1502</t>
  </si>
  <si>
    <t>Claim includes interest</t>
  </si>
  <si>
    <t>C-102</t>
  </si>
  <si>
    <t>Claim includes interest and transfer charges</t>
  </si>
  <si>
    <t>C-302</t>
  </si>
  <si>
    <t>A-1501</t>
  </si>
  <si>
    <t>Claim includes tds</t>
  </si>
  <si>
    <t>C-003</t>
  </si>
  <si>
    <t>E-802</t>
  </si>
  <si>
    <t>A-1201</t>
  </si>
  <si>
    <t>A-1202</t>
  </si>
  <si>
    <t>B-503</t>
  </si>
  <si>
    <t>A-1001</t>
  </si>
  <si>
    <t>A-801</t>
  </si>
  <si>
    <t>F-702</t>
  </si>
  <si>
    <t>A-202</t>
  </si>
  <si>
    <t>C-1102</t>
  </si>
  <si>
    <t>B-502</t>
  </si>
  <si>
    <t>No proof provided by claiment</t>
  </si>
  <si>
    <t>F-1701 &amp; G-1601</t>
  </si>
  <si>
    <t>Amount in tally more than claimed</t>
  </si>
  <si>
    <t xml:space="preserve">PARTNER OF RAJIV LUTHRA </t>
  </si>
  <si>
    <t>C-303</t>
  </si>
  <si>
    <t>Claim includes interest. One receipt of Rs 150000 entered in tally but not claimed</t>
  </si>
  <si>
    <t>A-1602</t>
  </si>
  <si>
    <t>A-303</t>
  </si>
  <si>
    <t>D-902</t>
  </si>
  <si>
    <t>Claim includes interest. One receipt of Rs 398295 entered in tally but not claimed</t>
  </si>
  <si>
    <t>A-201</t>
  </si>
  <si>
    <t>A-701</t>
  </si>
  <si>
    <t>B-401</t>
  </si>
  <si>
    <t>E-1002</t>
  </si>
  <si>
    <t>One recipt not recorded in tally</t>
  </si>
  <si>
    <t>B-203</t>
  </si>
  <si>
    <t>A-1101</t>
  </si>
  <si>
    <t>A-502</t>
  </si>
  <si>
    <t>C-403</t>
  </si>
  <si>
    <t>No recipt attached</t>
  </si>
  <si>
    <t>A-501</t>
  </si>
  <si>
    <t>Based on recipt attached</t>
  </si>
  <si>
    <t>B-1102</t>
  </si>
  <si>
    <t>As no  payment proof attached</t>
  </si>
  <si>
    <t>B-1201</t>
  </si>
  <si>
    <t>Claim includes interest and one cancelled cheque</t>
  </si>
  <si>
    <t>D-701</t>
  </si>
  <si>
    <t>Claim includes TDs</t>
  </si>
  <si>
    <t>A-003</t>
  </si>
  <si>
    <t>A-301</t>
  </si>
  <si>
    <t>Claim includes interest and 5lacs receipt missing</t>
  </si>
  <si>
    <t>B-1203</t>
  </si>
  <si>
    <t>G-602</t>
  </si>
  <si>
    <t xml:space="preserve">wife of Prem Patnaik </t>
  </si>
  <si>
    <t>A-1502</t>
  </si>
  <si>
    <t>daughter of Prem Patnaik</t>
  </si>
  <si>
    <t>D-1403</t>
  </si>
  <si>
    <t>F-703</t>
  </si>
  <si>
    <t>A-1403</t>
  </si>
  <si>
    <t>No recipt attached in claim</t>
  </si>
  <si>
    <t>B-501</t>
  </si>
  <si>
    <t>E-1102</t>
  </si>
  <si>
    <t>Kalpana</t>
  </si>
  <si>
    <t>A-1203</t>
  </si>
  <si>
    <t>Amit Gupta &amp; Daksh Goyal</t>
  </si>
  <si>
    <t>C-202</t>
  </si>
  <si>
    <t>C-1703</t>
  </si>
  <si>
    <t>Less recipt</t>
  </si>
  <si>
    <t>C-103</t>
  </si>
  <si>
    <t>G-103</t>
  </si>
  <si>
    <t>A-1803</t>
  </si>
  <si>
    <t>Recipt of same attached</t>
  </si>
  <si>
    <t>B-002</t>
  </si>
  <si>
    <t>F-1201</t>
  </si>
  <si>
    <t>B-1001</t>
  </si>
  <si>
    <t>D-802</t>
  </si>
  <si>
    <t>Claim amount includes interest</t>
  </si>
  <si>
    <t>D-402</t>
  </si>
  <si>
    <t>No receipt attached with claim</t>
  </si>
  <si>
    <t xml:space="preserve">C-903 </t>
  </si>
  <si>
    <t xml:space="preserve">G-501 </t>
  </si>
  <si>
    <t xml:space="preserve">B-1202 </t>
  </si>
  <si>
    <t xml:space="preserve">E-1702 </t>
  </si>
  <si>
    <t>Ankit Goel and Deepali Goel</t>
  </si>
  <si>
    <t xml:space="preserve">C-1603 </t>
  </si>
  <si>
    <t xml:space="preserve">D-803 </t>
  </si>
  <si>
    <t>No receipt attached</t>
  </si>
  <si>
    <t xml:space="preserve">C- 1103 </t>
  </si>
  <si>
    <t xml:space="preserve">C- 703 </t>
  </si>
  <si>
    <t xml:space="preserve">A-702  </t>
  </si>
  <si>
    <t xml:space="preserve">B-902  </t>
  </si>
  <si>
    <t xml:space="preserve">G-1102  </t>
  </si>
  <si>
    <t xml:space="preserve">G-1103  </t>
  </si>
  <si>
    <t xml:space="preserve">G-1201  </t>
  </si>
  <si>
    <t xml:space="preserve">C-1503  </t>
  </si>
  <si>
    <t xml:space="preserve">E-1603  </t>
  </si>
  <si>
    <t xml:space="preserve">E-703  </t>
  </si>
  <si>
    <t xml:space="preserve">B-802  </t>
  </si>
  <si>
    <t xml:space="preserve">E-201  </t>
  </si>
  <si>
    <t xml:space="preserve">D-1003  </t>
  </si>
  <si>
    <t xml:space="preserve">C-501  </t>
  </si>
  <si>
    <t xml:space="preserve">B-601  </t>
  </si>
  <si>
    <t>Less receipt</t>
  </si>
  <si>
    <t xml:space="preserve">D-503  </t>
  </si>
  <si>
    <t xml:space="preserve">A-703  </t>
  </si>
  <si>
    <t xml:space="preserve">D-603  </t>
  </si>
  <si>
    <t xml:space="preserve">E-602  </t>
  </si>
  <si>
    <t xml:space="preserve">A-603  </t>
  </si>
  <si>
    <t>Claim less than tally</t>
  </si>
  <si>
    <t xml:space="preserve">C-701  </t>
  </si>
  <si>
    <t xml:space="preserve">F-503  </t>
  </si>
  <si>
    <t xml:space="preserve">B-901  </t>
  </si>
  <si>
    <t xml:space="preserve">B-603  </t>
  </si>
  <si>
    <t xml:space="preserve">C-402  </t>
  </si>
  <si>
    <t>Anil Kumar Grover and Indu Grover</t>
  </si>
  <si>
    <t xml:space="preserve">B-801  </t>
  </si>
  <si>
    <t>Claim includes interest paid on home loan and TDs</t>
  </si>
  <si>
    <t xml:space="preserve">C-1501  </t>
  </si>
  <si>
    <t xml:space="preserve">F-202  </t>
  </si>
  <si>
    <t xml:space="preserve">A-901  </t>
  </si>
  <si>
    <t xml:space="preserve">B-1702  </t>
  </si>
  <si>
    <t xml:space="preserve">F-602  </t>
  </si>
  <si>
    <t xml:space="preserve">G-1202  </t>
  </si>
  <si>
    <t xml:space="preserve">B-202  </t>
  </si>
  <si>
    <t xml:space="preserve">F-902  </t>
  </si>
  <si>
    <t>Calim less than in tally</t>
  </si>
  <si>
    <t xml:space="preserve">F-903  </t>
  </si>
  <si>
    <t xml:space="preserve">C-702  </t>
  </si>
  <si>
    <t xml:space="preserve">F-802  </t>
  </si>
  <si>
    <t xml:space="preserve">F-803  </t>
  </si>
  <si>
    <t xml:space="preserve">B-1103  </t>
  </si>
  <si>
    <t>G-1801</t>
  </si>
  <si>
    <t>A-1801</t>
  </si>
  <si>
    <t>E-302</t>
  </si>
  <si>
    <t>Claim excluding service tax</t>
  </si>
  <si>
    <t>B-1003</t>
  </si>
  <si>
    <t>C-502</t>
  </si>
  <si>
    <t>R.S Manti / Santokh Mantri</t>
  </si>
  <si>
    <t>A-1603</t>
  </si>
  <si>
    <t>Sashwat Sharma</t>
  </si>
  <si>
    <t>C-802</t>
  </si>
  <si>
    <t>Sachin Virmani</t>
  </si>
  <si>
    <t>A-903</t>
  </si>
  <si>
    <t>Prerna Garg &amp; R.C Garg</t>
  </si>
  <si>
    <t>D-703</t>
  </si>
  <si>
    <t>Ashok Kumar Ponniah</t>
  </si>
  <si>
    <t>C-1202</t>
  </si>
  <si>
    <t>Kapil N Vaid</t>
  </si>
  <si>
    <t>A-1102</t>
  </si>
  <si>
    <t>Vinita &amp; Dinesh Bhutani</t>
  </si>
  <si>
    <t>C-902</t>
  </si>
  <si>
    <t xml:space="preserve">Mrs. Sheekha Gupta </t>
  </si>
  <si>
    <t>A-402</t>
  </si>
  <si>
    <t xml:space="preserve">Mrs. Usha Devi </t>
  </si>
  <si>
    <t>E-202</t>
  </si>
  <si>
    <t xml:space="preserve">Mr. Kavin Gupta </t>
  </si>
  <si>
    <t>C-301</t>
  </si>
  <si>
    <t>Mina Chauhan / Push Lata Chauhan</t>
  </si>
  <si>
    <t>C-801</t>
  </si>
  <si>
    <t>Vinod Kumar Bapna</t>
  </si>
  <si>
    <t>A-803</t>
  </si>
  <si>
    <t>Rajan Rakheja</t>
  </si>
  <si>
    <t>E-1602</t>
  </si>
  <si>
    <t>Karuna Sharma &amp; Vinod Sharma</t>
  </si>
  <si>
    <t>F-1602</t>
  </si>
  <si>
    <t>Surender Kumar &amp; Savita Devi</t>
  </si>
  <si>
    <t>C-002</t>
  </si>
  <si>
    <t>Bijender Malik</t>
  </si>
  <si>
    <t>B-303</t>
  </si>
  <si>
    <t>Naveen Kumar &amp; Varun Dhar</t>
  </si>
  <si>
    <t>C-901</t>
  </si>
  <si>
    <t>Shubhash Gumber</t>
  </si>
  <si>
    <t>B-903, D-502</t>
  </si>
  <si>
    <t>Kuljit Singh Sethi</t>
  </si>
  <si>
    <t>Rajbir Singh Yadav</t>
  </si>
  <si>
    <t>B-101</t>
  </si>
  <si>
    <t>Claim Includes interest</t>
  </si>
  <si>
    <t>Total Claims till Date</t>
  </si>
  <si>
    <t xml:space="preserve">M/S. Aaa landmark pvt ltd </t>
  </si>
  <si>
    <t>D-1603</t>
  </si>
  <si>
    <t>related party  director in both co</t>
  </si>
  <si>
    <t>E-1601</t>
  </si>
  <si>
    <t xml:space="preserve">related party  director </t>
  </si>
  <si>
    <t>E-1501</t>
  </si>
  <si>
    <t>related party  director</t>
  </si>
  <si>
    <t>F-603</t>
  </si>
  <si>
    <t xml:space="preserve">related party - wife &amp; daughter of Arun Anand </t>
  </si>
  <si>
    <t>E-002</t>
  </si>
  <si>
    <t xml:space="preserve">B-I-L  Of arun ananad </t>
  </si>
  <si>
    <t>G-1002</t>
  </si>
  <si>
    <t>No recipt available</t>
  </si>
  <si>
    <t>Sonal Anand -Director</t>
  </si>
  <si>
    <t>B-1602</t>
  </si>
  <si>
    <t>F-1402</t>
  </si>
  <si>
    <t>Amount claimed less than recorded in tally</t>
  </si>
  <si>
    <t>Sister of Anil nanda</t>
  </si>
  <si>
    <t>F-403</t>
  </si>
  <si>
    <t>Has claimed TDS of Rs 12984. So admitted the amount excluding TDS</t>
  </si>
  <si>
    <t xml:space="preserve">may be wife of Sudhir sud </t>
  </si>
  <si>
    <t>Related Parties Total</t>
  </si>
  <si>
    <t>Amount under Verification</t>
  </si>
  <si>
    <t>Som Prakash Bishnoi</t>
  </si>
  <si>
    <t>F-302</t>
  </si>
  <si>
    <t>Amount Verfied by RP (Principal + Interest @8% on receipt basis) excluding service tax</t>
  </si>
  <si>
    <t>TOTAL of All claim excluding related party</t>
  </si>
  <si>
    <t>TOTAL of All claim</t>
  </si>
  <si>
    <t>Kushagra Katariya-Purchased flat from Golden Realtors</t>
  </si>
  <si>
    <t>Interest @ 8% on receipt basis(B)</t>
  </si>
  <si>
    <t>Amount Under Verification</t>
  </si>
  <si>
    <t>Devinder Singh</t>
  </si>
  <si>
    <t xml:space="preserve"> Mr. Lokesh Yadav &amp; Suman Keshav Katoch</t>
  </si>
  <si>
    <t>Gopal Krishan</t>
  </si>
  <si>
    <t>Harshinder Singh / Radhika Singh</t>
  </si>
  <si>
    <t>C-1201</t>
  </si>
  <si>
    <t>B - 701</t>
  </si>
  <si>
    <t>A-1401</t>
  </si>
  <si>
    <t>F-201</t>
  </si>
  <si>
    <t>Lalit Kumar Aggarwal</t>
  </si>
  <si>
    <t>C-603</t>
  </si>
  <si>
    <t>Amount as per IRP , Still Under - Verification</t>
  </si>
  <si>
    <t>Amount verified by RP from Claim Documents &amp; from Books of Accounts</t>
  </si>
  <si>
    <t>Rahul Gupta</t>
  </si>
  <si>
    <t>A-1003</t>
  </si>
  <si>
    <t xml:space="preserve">Rakesh Gangadhar &amp; Kusam Bala, </t>
  </si>
  <si>
    <t>Asst. Commisioner of  commercial Taxes audit 5-6 , banglore</t>
  </si>
  <si>
    <t>O/o DGSTO-V, VTK-2, "B" block, room no. 504, 5th floor, near NGV, KORAMANGALA , BANGLORE-560047</t>
  </si>
  <si>
    <t>Rajinder Kumar Arora &amp; Om Prakash Arora</t>
  </si>
  <si>
    <t>A-602</t>
  </si>
  <si>
    <t>Ashok Kumar</t>
  </si>
  <si>
    <t>05, Sikandarpur terahe Banda up. Pin- 210128</t>
  </si>
  <si>
    <t>Shakti Singh Kalan/Sq Ldr. Sunita Singhadia</t>
  </si>
  <si>
    <t>E-502</t>
  </si>
  <si>
    <t>G-803, G-1003</t>
  </si>
  <si>
    <t>LIST OF FINANCIAL CREDITORS (FORM C) - VERSION 3</t>
  </si>
  <si>
    <t>AKME PROJECTS LIMITED (UNDER CIRP)</t>
  </si>
  <si>
    <t>(Compounding of Penal interest not admitted under law)</t>
  </si>
  <si>
    <t>*The aforesaid list includes the claims received till March 08, 2020 either through e-mail and / or physically.</t>
  </si>
  <si>
    <t>LIST OF FINANCIAL CREDITORS WITH THE AMOUNT CLAIMED AND ADMITTED REGULATIONS 36 (2) (d)
Note : This is not the final list . The verofication is currently underway, basis which the list will be updated.</t>
  </si>
  <si>
    <t>LIST OF FINANCIAL CREDITORS IN THE CLASS OF HOME-BUYERS(FORM CA) - VERSION 3</t>
  </si>
  <si>
    <t xml:space="preserve">
Note : This is not the final list . The verification is currently underway, basis which the list will be updated.</t>
  </si>
  <si>
    <t>Principal Claim Verified (including Service tax)</t>
  </si>
  <si>
    <t>Principal Claim Verified (excluding Service tax)(A)</t>
  </si>
  <si>
    <t>Total Verified (Principal + Interest)(A+B)</t>
  </si>
  <si>
    <t xml:space="preserve">LIST OF OPERATIONAL CREDITORS OTHER THAN WORKMEN AND EMPLOYEE(FORM B) - VERSION 3
</t>
  </si>
  <si>
    <t>AKME PROJECTS LIMITED -(UNDER CIRP)</t>
  </si>
  <si>
    <t>Note: The aforesaid list includes the claims received till March 08, 2020 either through e-mail and / or physically.</t>
  </si>
  <si>
    <t>Claim un-verified (Rs)</t>
  </si>
  <si>
    <t>Amount un-verified(Rs)</t>
  </si>
  <si>
    <t>List of claims of Workers and employees (Form D)</t>
  </si>
  <si>
    <t>Akme Projects Limited (Under CIRP)</t>
  </si>
  <si>
    <t>Note : This is not the final list . The verification is currently underway, basis which the list will be updated.</t>
  </si>
</sst>
</file>

<file path=xl/styles.xml><?xml version="1.0" encoding="utf-8"?>
<styleSheet xmlns="http://schemas.openxmlformats.org/spreadsheetml/2006/main">
  <numFmts count="19">
    <numFmt numFmtId="41" formatCode="_(* #,##0_);_(* \(#,##0\);_(* &quot;-&quot;_);_(@_)"/>
    <numFmt numFmtId="43" formatCode="_(* #,##0.00_);_(* \(#,##0.00\);_(* &quot;-&quot;??_);_(@_)"/>
    <numFmt numFmtId="164" formatCode="_ * #,##0.00_ ;_ * \-#,##0.00_ ;_ * &quot;-&quot;??_ ;_ @_ "/>
    <numFmt numFmtId="165" formatCode="_-* #,##0.00_-;\-* #,##0.00_-;_-* &quot;-&quot;??_-;_-@_-"/>
    <numFmt numFmtId="166" formatCode="_-* #,##0_-;\-* #,##0_-;_-* &quot;-&quot;??_-;_-@_-"/>
    <numFmt numFmtId="167" formatCode="_(* #,##0_);_(* \(#,##0\);_(* &quot;-&quot;??_);_(@_)"/>
    <numFmt numFmtId="168" formatCode="0.00_)"/>
    <numFmt numFmtId="169" formatCode="&quot;&quot;0.00"/>
    <numFmt numFmtId="170" formatCode="_ * #,##0_ ;_ * \-#,##0_ ;_ * &quot;-&quot;??_ ;_ @_ "/>
    <numFmt numFmtId="171" formatCode="[$-409]d\-mmm\-yy;@"/>
    <numFmt numFmtId="172" formatCode="dd\.mm\.yyyy;@"/>
    <numFmt numFmtId="173" formatCode="0_ ;\-0\ "/>
    <numFmt numFmtId="174" formatCode="_-* #,##0.0_-;\-* #,##0.0_-;_-* &quot;-&quot;??_-;_-@_-"/>
    <numFmt numFmtId="175" formatCode="_(* #,##0_);_(* \(#,##0\);_(* &quot;-&quot;?_);_(@_)"/>
    <numFmt numFmtId="176" formatCode="[$-409]dd\-mmm\-yy;@"/>
    <numFmt numFmtId="177" formatCode="dd\/mm\/yy"/>
    <numFmt numFmtId="178" formatCode="0.0"/>
    <numFmt numFmtId="179" formatCode="#,##0.0"/>
    <numFmt numFmtId="180" formatCode="mm/dd/yy;@"/>
  </numFmts>
  <fonts count="67">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sz val="12"/>
      <name val="Times New Roman"/>
      <family val="1"/>
    </font>
    <font>
      <b/>
      <sz val="12"/>
      <name val="Calibri"/>
      <family val="2"/>
      <scheme val="minor"/>
    </font>
    <font>
      <sz val="10"/>
      <name val="Arial"/>
      <family val="2"/>
    </font>
    <font>
      <b/>
      <sz val="11"/>
      <color theme="1"/>
      <name val="Calibri"/>
      <family val="2"/>
      <scheme val="minor"/>
    </font>
    <font>
      <sz val="12"/>
      <name val="Calibri"/>
      <family val="2"/>
      <scheme val="minor"/>
    </font>
    <font>
      <sz val="12"/>
      <color rgb="FF000000"/>
      <name val="Calibri"/>
      <family val="2"/>
      <scheme val="minor"/>
    </font>
    <font>
      <b/>
      <sz val="11"/>
      <name val="Calibri"/>
      <family val="2"/>
      <scheme val="minor"/>
    </font>
    <font>
      <b/>
      <sz val="14"/>
      <color theme="1"/>
      <name val="Calibri"/>
      <family val="2"/>
      <scheme val="minor"/>
    </font>
    <font>
      <sz val="12"/>
      <color rgb="FFFF0000"/>
      <name val="Calibri"/>
      <family val="2"/>
      <scheme val="minor"/>
    </font>
    <font>
      <b/>
      <u/>
      <sz val="11"/>
      <color theme="1"/>
      <name val="Calibri"/>
      <family val="2"/>
      <scheme val="minor"/>
    </font>
    <font>
      <b/>
      <u/>
      <sz val="12"/>
      <color theme="1"/>
      <name val="Calibri"/>
      <family val="2"/>
      <scheme val="minor"/>
    </font>
    <font>
      <sz val="14"/>
      <color theme="1"/>
      <name val="Calibri"/>
      <family val="2"/>
      <scheme val="minor"/>
    </font>
    <font>
      <sz val="16"/>
      <color theme="1"/>
      <name val="Calibri"/>
      <family val="2"/>
      <scheme val="minor"/>
    </font>
    <font>
      <sz val="10"/>
      <color theme="1"/>
      <name val="Arial"/>
      <family val="2"/>
    </font>
    <font>
      <sz val="9"/>
      <color theme="1"/>
      <name val="Arial"/>
      <family val="2"/>
    </font>
    <font>
      <b/>
      <sz val="10"/>
      <color theme="1"/>
      <name val="Arial"/>
      <family val="2"/>
    </font>
    <font>
      <i/>
      <sz val="14"/>
      <color theme="1"/>
      <name val="Calibri"/>
      <family val="2"/>
      <scheme val="minor"/>
    </font>
    <font>
      <i/>
      <sz val="12"/>
      <color theme="1"/>
      <name val="Calibri"/>
      <family val="2"/>
      <scheme val="minor"/>
    </font>
    <font>
      <b/>
      <u/>
      <sz val="14"/>
      <color theme="1"/>
      <name val="Calibri"/>
      <family val="2"/>
      <scheme val="minor"/>
    </font>
    <font>
      <sz val="11"/>
      <color theme="1"/>
      <name val="Arial"/>
      <family val="2"/>
    </font>
    <font>
      <b/>
      <u/>
      <sz val="11"/>
      <name val="Times New Roman"/>
      <family val="1"/>
    </font>
    <font>
      <b/>
      <u/>
      <sz val="10"/>
      <name val="Times New Roman"/>
      <family val="1"/>
    </font>
    <font>
      <sz val="11"/>
      <color rgb="FF000000"/>
      <name val="Calibri"/>
      <family val="2"/>
      <scheme val="minor"/>
    </font>
    <font>
      <sz val="11"/>
      <name val="Calibri"/>
      <family val="2"/>
      <scheme val="minor"/>
    </font>
    <font>
      <b/>
      <sz val="12"/>
      <color rgb="FFFF0000"/>
      <name val="Calibri"/>
      <family val="2"/>
      <scheme val="minor"/>
    </font>
    <font>
      <sz val="11"/>
      <color rgb="FFFF0000"/>
      <name val="Calibri"/>
      <family val="2"/>
      <scheme val="minor"/>
    </font>
    <font>
      <b/>
      <sz val="18"/>
      <color theme="1"/>
      <name val="Calibri"/>
      <family val="2"/>
      <scheme val="minor"/>
    </font>
    <font>
      <b/>
      <sz val="10"/>
      <color theme="1"/>
      <name val="Calibri"/>
      <family val="2"/>
      <scheme val="minor"/>
    </font>
    <font>
      <sz val="10"/>
      <color theme="1"/>
      <name val="Calibri"/>
      <family val="2"/>
      <scheme val="minor"/>
    </font>
    <font>
      <b/>
      <sz val="10"/>
      <name val="Arial"/>
      <family val="2"/>
    </font>
    <font>
      <sz val="9"/>
      <name val="Arial"/>
      <family val="2"/>
    </font>
    <font>
      <sz val="18"/>
      <color rgb="FFFF0000"/>
      <name val="Calibri"/>
      <family val="2"/>
      <scheme val="minor"/>
    </font>
    <font>
      <b/>
      <sz val="12"/>
      <color theme="1"/>
      <name val="Cambria"/>
      <family val="1"/>
      <scheme val="major"/>
    </font>
    <font>
      <sz val="12"/>
      <color theme="1"/>
      <name val="Cambria"/>
      <family val="1"/>
      <scheme val="major"/>
    </font>
    <font>
      <b/>
      <sz val="12"/>
      <name val="Cambria"/>
      <family val="1"/>
      <scheme val="major"/>
    </font>
    <font>
      <sz val="11"/>
      <color theme="1"/>
      <name val="Cambria"/>
      <family val="1"/>
      <scheme val="major"/>
    </font>
    <font>
      <b/>
      <sz val="14"/>
      <color theme="1"/>
      <name val="Cambria"/>
      <family val="1"/>
      <scheme val="major"/>
    </font>
    <font>
      <sz val="12"/>
      <name val="Cambria"/>
      <family val="1"/>
      <scheme val="major"/>
    </font>
    <font>
      <i/>
      <sz val="12"/>
      <color theme="1"/>
      <name val="Cambria"/>
      <family val="1"/>
      <scheme val="major"/>
    </font>
    <font>
      <b/>
      <sz val="11"/>
      <color theme="1"/>
      <name val="Cambria"/>
      <family val="1"/>
      <scheme val="major"/>
    </font>
    <font>
      <sz val="12"/>
      <color rgb="FF1D1D1C"/>
      <name val="Cambria"/>
      <family val="1"/>
      <scheme val="major"/>
    </font>
    <font>
      <b/>
      <u/>
      <sz val="11"/>
      <name val="Cambria"/>
      <family val="1"/>
      <scheme val="major"/>
    </font>
    <font>
      <b/>
      <u/>
      <sz val="10"/>
      <name val="Cambria"/>
      <family val="1"/>
      <scheme val="major"/>
    </font>
    <font>
      <sz val="11"/>
      <name val="Cambria"/>
      <family val="1"/>
      <scheme val="major"/>
    </font>
    <font>
      <b/>
      <sz val="10"/>
      <name val="Cambria"/>
      <family val="1"/>
      <scheme val="major"/>
    </font>
    <font>
      <b/>
      <sz val="11"/>
      <name val="Cambria"/>
      <family val="1"/>
      <scheme val="major"/>
    </font>
    <font>
      <sz val="11"/>
      <color rgb="FF000000"/>
      <name val="Calibri"/>
      <family val="2"/>
    </font>
    <font>
      <sz val="10"/>
      <color indexed="8"/>
      <name val="Arial"/>
      <family val="2"/>
    </font>
    <font>
      <sz val="10"/>
      <name val="Arial"/>
      <family val="2"/>
    </font>
    <font>
      <sz val="16"/>
      <color theme="1"/>
      <name val="Cambria"/>
      <family val="1"/>
      <scheme val="major"/>
    </font>
    <font>
      <b/>
      <i/>
      <sz val="12"/>
      <color theme="1"/>
      <name val="Cambria"/>
      <family val="1"/>
      <scheme val="major"/>
    </font>
    <font>
      <b/>
      <u/>
      <sz val="12"/>
      <color theme="1"/>
      <name val="Cambria"/>
      <family val="1"/>
      <scheme val="major"/>
    </font>
    <font>
      <b/>
      <u/>
      <sz val="12"/>
      <name val="Cambria"/>
      <family val="1"/>
      <scheme val="major"/>
    </font>
    <font>
      <sz val="12"/>
      <color theme="1"/>
      <name val="Times New Roman"/>
      <family val="1"/>
    </font>
    <font>
      <sz val="12"/>
      <color rgb="FF000000"/>
      <name val="Times New Roman"/>
      <family val="1"/>
    </font>
    <font>
      <sz val="12"/>
      <color rgb="FF222222"/>
      <name val="Calibri"/>
      <family val="2"/>
      <scheme val="minor"/>
    </font>
    <font>
      <u/>
      <sz val="11"/>
      <color theme="10"/>
      <name val="Calibri"/>
      <family val="2"/>
    </font>
    <font>
      <b/>
      <u/>
      <sz val="12"/>
      <color theme="10"/>
      <name val="Calibri"/>
      <family val="2"/>
    </font>
    <font>
      <sz val="11"/>
      <color rgb="FF333333"/>
      <name val="Times New Roman"/>
      <family val="1"/>
    </font>
    <font>
      <sz val="11"/>
      <color rgb="FF000000"/>
      <name val="Times New Roman"/>
      <family val="1"/>
    </font>
    <font>
      <sz val="12"/>
      <color rgb="FF222222"/>
      <name val="Arial"/>
      <family val="2"/>
    </font>
    <font>
      <sz val="12"/>
      <color rgb="FF000000"/>
      <name val="Cambria"/>
      <family val="1"/>
      <scheme val="major"/>
    </font>
    <font>
      <sz val="11"/>
      <color rgb="FF000000"/>
      <name val="Cambria"/>
      <family val="1"/>
      <scheme val="major"/>
    </font>
  </fonts>
  <fills count="18">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6" tint="-0.249977111117893"/>
        <bgColor indexed="64"/>
      </patternFill>
    </fill>
    <fill>
      <patternFill patternType="solid">
        <fgColor indexed="49"/>
        <bgColor indexed="64"/>
      </patternFill>
    </fill>
    <fill>
      <patternFill patternType="solid">
        <fgColor indexed="13"/>
        <bgColor indexed="64"/>
      </patternFill>
    </fill>
    <fill>
      <patternFill patternType="solid">
        <fgColor theme="3"/>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5"/>
        <bgColor indexed="64"/>
      </patternFill>
    </fill>
    <fill>
      <patternFill patternType="solid">
        <fgColor rgb="FFFFC000"/>
        <bgColor indexed="64"/>
      </patternFill>
    </fill>
  </fills>
  <borders count="88">
    <border>
      <left/>
      <right/>
      <top/>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indexed="64"/>
      </top>
      <bottom/>
      <diagonal/>
    </border>
    <border>
      <left/>
      <right style="medium">
        <color rgb="FF000000"/>
      </right>
      <top style="medium">
        <color indexed="64"/>
      </top>
      <bottom style="medium">
        <color rgb="FF000000"/>
      </bottom>
      <diagonal/>
    </border>
    <border>
      <left/>
      <right/>
      <top style="medium">
        <color indexed="64"/>
      </top>
      <bottom style="medium">
        <color rgb="FF000000"/>
      </bottom>
      <diagonal/>
    </border>
    <border>
      <left/>
      <right style="medium">
        <color rgb="FF000000"/>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rgb="FF000000"/>
      </right>
      <top style="medium">
        <color rgb="FF000000"/>
      </top>
      <bottom style="medium">
        <color rgb="FF000000"/>
      </bottom>
      <diagonal/>
    </border>
    <border>
      <left style="medium">
        <color indexed="64"/>
      </left>
      <right style="medium">
        <color rgb="FF000000"/>
      </right>
      <top/>
      <bottom style="medium">
        <color rgb="FF000000"/>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rgb="FF000000"/>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s>
  <cellStyleXfs count="22">
    <xf numFmtId="0" fontId="0" fillId="0" borderId="0"/>
    <xf numFmtId="165"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6" fillId="0" borderId="0"/>
    <xf numFmtId="165"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0" fontId="50" fillId="0" borderId="0"/>
    <xf numFmtId="0" fontId="51" fillId="0" borderId="0">
      <alignment vertical="top"/>
    </xf>
    <xf numFmtId="43" fontId="51" fillId="0" borderId="0" applyFont="0" applyFill="0" applyBorder="0" applyAlignment="0" applyProtection="0">
      <alignment vertical="top"/>
    </xf>
    <xf numFmtId="0" fontId="52" fillId="0" borderId="0"/>
    <xf numFmtId="0" fontId="1" fillId="0" borderId="0"/>
    <xf numFmtId="0" fontId="60" fillId="0" borderId="0" applyNumberFormat="0" applyFill="0" applyBorder="0" applyAlignment="0" applyProtection="0">
      <alignment vertical="top"/>
      <protection locked="0"/>
    </xf>
    <xf numFmtId="0" fontId="1" fillId="0" borderId="0"/>
  </cellStyleXfs>
  <cellXfs count="1771">
    <xf numFmtId="0" fontId="0" fillId="0" borderId="0" xfId="0"/>
    <xf numFmtId="0" fontId="2" fillId="0" borderId="0" xfId="0" applyFont="1" applyFill="1"/>
    <xf numFmtId="166" fontId="2" fillId="0" borderId="0" xfId="1" applyNumberFormat="1" applyFont="1" applyFill="1"/>
    <xf numFmtId="167" fontId="3" fillId="0" borderId="0" xfId="2" applyNumberFormat="1" applyFont="1" applyFill="1" applyAlignment="1">
      <alignment horizontal="right"/>
    </xf>
    <xf numFmtId="0" fontId="3" fillId="0" borderId="0" xfId="0" applyFont="1" applyFill="1" applyBorder="1"/>
    <xf numFmtId="0" fontId="2" fillId="0" borderId="0" xfId="0" applyFont="1" applyFill="1" applyBorder="1"/>
    <xf numFmtId="167" fontId="3" fillId="0" borderId="0" xfId="2" applyNumberFormat="1" applyFont="1" applyFill="1" applyBorder="1" applyAlignment="1">
      <alignment horizontal="right"/>
    </xf>
    <xf numFmtId="0" fontId="3" fillId="0" borderId="0" xfId="0" applyFont="1" applyFill="1"/>
    <xf numFmtId="0" fontId="3" fillId="0" borderId="0" xfId="0" applyFont="1"/>
    <xf numFmtId="166" fontId="3" fillId="0" borderId="0" xfId="1" applyNumberFormat="1" applyFont="1" applyFill="1"/>
    <xf numFmtId="168" fontId="4" fillId="0" borderId="0" xfId="0" quotePrefix="1" applyNumberFormat="1" applyFont="1" applyFill="1" applyBorder="1" applyAlignment="1">
      <alignment horizontal="left"/>
    </xf>
    <xf numFmtId="167" fontId="2" fillId="0" borderId="0" xfId="2" applyNumberFormat="1" applyFont="1" applyFill="1" applyBorder="1" applyAlignment="1">
      <alignment horizontal="right"/>
    </xf>
    <xf numFmtId="167" fontId="2" fillId="0" borderId="0" xfId="0" applyNumberFormat="1" applyFont="1" applyFill="1" applyBorder="1"/>
    <xf numFmtId="167" fontId="3" fillId="0" borderId="0" xfId="2" applyNumberFormat="1" applyFont="1" applyFill="1" applyAlignment="1">
      <alignment horizontal="center"/>
    </xf>
    <xf numFmtId="168" fontId="4" fillId="0" borderId="0" xfId="0" quotePrefix="1" applyNumberFormat="1" applyFont="1" applyFill="1" applyBorder="1" applyAlignment="1" applyProtection="1">
      <alignment horizontal="left"/>
    </xf>
    <xf numFmtId="0" fontId="3" fillId="0" borderId="0" xfId="0" applyFont="1" applyFill="1" applyBorder="1" applyAlignment="1">
      <alignment wrapText="1"/>
    </xf>
    <xf numFmtId="167" fontId="3" fillId="0" borderId="0" xfId="0" applyNumberFormat="1" applyFont="1" applyFill="1" applyBorder="1"/>
    <xf numFmtId="167" fontId="2" fillId="0" borderId="0" xfId="0" applyNumberFormat="1" applyFont="1" applyFill="1"/>
    <xf numFmtId="0" fontId="3" fillId="0" borderId="0" xfId="0" applyFont="1" applyFill="1" applyAlignment="1">
      <alignment wrapText="1"/>
    </xf>
    <xf numFmtId="0" fontId="5" fillId="0" borderId="0" xfId="0" applyFont="1" applyFill="1"/>
    <xf numFmtId="166" fontId="3" fillId="0" borderId="0" xfId="1" applyNumberFormat="1" applyFont="1" applyFill="1" applyBorder="1"/>
    <xf numFmtId="166" fontId="2" fillId="0" borderId="0" xfId="1" applyNumberFormat="1" applyFont="1" applyFill="1" applyBorder="1"/>
    <xf numFmtId="166" fontId="2" fillId="0" borderId="0" xfId="1" applyNumberFormat="1" applyFont="1" applyFill="1" applyAlignment="1">
      <alignment horizontal="right"/>
    </xf>
    <xf numFmtId="0" fontId="3" fillId="0" borderId="1" xfId="0" applyFont="1" applyFill="1" applyBorder="1"/>
    <xf numFmtId="166" fontId="3" fillId="0" borderId="1" xfId="1" applyNumberFormat="1" applyFont="1" applyFill="1" applyBorder="1"/>
    <xf numFmtId="167" fontId="3" fillId="0" borderId="1" xfId="2" applyNumberFormat="1" applyFont="1" applyFill="1" applyBorder="1" applyAlignment="1">
      <alignment horizontal="right"/>
    </xf>
    <xf numFmtId="166" fontId="2" fillId="0" borderId="1" xfId="1" applyNumberFormat="1" applyFont="1" applyFill="1" applyBorder="1"/>
    <xf numFmtId="0" fontId="2" fillId="0" borderId="0" xfId="0" applyFont="1"/>
    <xf numFmtId="0" fontId="5" fillId="0" borderId="0" xfId="0" applyFont="1" applyBorder="1" applyAlignment="1">
      <alignment horizontal="left"/>
    </xf>
    <xf numFmtId="0" fontId="2" fillId="0" borderId="0" xfId="0" applyFont="1" applyBorder="1"/>
    <xf numFmtId="0" fontId="2" fillId="0" borderId="0" xfId="0" applyFont="1" applyBorder="1" applyAlignment="1">
      <alignment horizontal="center" vertical="top"/>
    </xf>
    <xf numFmtId="0" fontId="8" fillId="0" borderId="0" xfId="0" applyFont="1" applyBorder="1"/>
    <xf numFmtId="0" fontId="8" fillId="0" borderId="0" xfId="0" applyFont="1" applyBorder="1" applyAlignment="1"/>
    <xf numFmtId="0" fontId="3" fillId="0" borderId="0" xfId="0"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9" fillId="0" borderId="4" xfId="0" applyFont="1" applyBorder="1" applyAlignment="1">
      <alignment vertical="center" wrapText="1"/>
    </xf>
    <xf numFmtId="0" fontId="2" fillId="0" borderId="2" xfId="0" applyFont="1" applyBorder="1" applyAlignment="1">
      <alignment horizontal="center" vertical="center" wrapText="1"/>
    </xf>
    <xf numFmtId="0" fontId="2" fillId="0" borderId="2" xfId="0" applyFont="1" applyBorder="1" applyAlignment="1">
      <alignment vertical="center"/>
    </xf>
    <xf numFmtId="0" fontId="2" fillId="0" borderId="4" xfId="0" applyFont="1" applyBorder="1" applyAlignment="1">
      <alignment horizontal="center" vertical="top"/>
    </xf>
    <xf numFmtId="0" fontId="3" fillId="0" borderId="7" xfId="0" applyFont="1" applyBorder="1" applyAlignment="1"/>
    <xf numFmtId="166" fontId="2" fillId="0" borderId="0" xfId="1" applyNumberFormat="1" applyFont="1"/>
    <xf numFmtId="0" fontId="2" fillId="0" borderId="0" xfId="0" applyFont="1" applyAlignment="1">
      <alignment horizontal="center"/>
    </xf>
    <xf numFmtId="0" fontId="2" fillId="0" borderId="15" xfId="0" applyFont="1" applyBorder="1" applyAlignment="1">
      <alignment horizontal="center" vertical="center"/>
    </xf>
    <xf numFmtId="0" fontId="3" fillId="0" borderId="2" xfId="0" applyFont="1" applyFill="1" applyBorder="1" applyAlignment="1">
      <alignment horizontal="center" vertical="center"/>
    </xf>
    <xf numFmtId="166" fontId="2" fillId="0" borderId="2" xfId="1" applyNumberFormat="1" applyFont="1" applyBorder="1" applyAlignment="1">
      <alignment horizontal="center" vertical="center" wrapText="1"/>
    </xf>
    <xf numFmtId="166" fontId="2" fillId="0" borderId="2" xfId="1" applyNumberFormat="1" applyFont="1" applyBorder="1" applyAlignment="1">
      <alignment horizontal="center" vertical="center"/>
    </xf>
    <xf numFmtId="166" fontId="2" fillId="0" borderId="2" xfId="0" applyNumberFormat="1" applyFont="1" applyBorder="1" applyAlignment="1">
      <alignment horizontal="center" vertical="center"/>
    </xf>
    <xf numFmtId="165" fontId="2" fillId="2" borderId="2" xfId="1" applyFont="1" applyFill="1" applyBorder="1" applyAlignment="1">
      <alignment horizontal="center"/>
    </xf>
    <xf numFmtId="0" fontId="2" fillId="0" borderId="6" xfId="0" applyFont="1" applyBorder="1" applyAlignment="1">
      <alignment horizontal="center" vertical="center"/>
    </xf>
    <xf numFmtId="166" fontId="3" fillId="0" borderId="2" xfId="0" applyNumberFormat="1" applyFont="1" applyBorder="1" applyAlignment="1">
      <alignment horizontal="center" vertical="center"/>
    </xf>
    <xf numFmtId="165" fontId="2" fillId="2" borderId="3" xfId="1" applyFont="1" applyFill="1" applyBorder="1" applyAlignment="1">
      <alignment horizontal="center"/>
    </xf>
    <xf numFmtId="0" fontId="0" fillId="0" borderId="0" xfId="0" applyAlignment="1">
      <alignment vertical="center"/>
    </xf>
    <xf numFmtId="0" fontId="2" fillId="0" borderId="0" xfId="0" applyFont="1" applyBorder="1" applyAlignment="1">
      <alignment horizont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Fill="1" applyAlignment="1">
      <alignment vertical="center" wrapText="1"/>
    </xf>
    <xf numFmtId="0" fontId="0" fillId="0" borderId="22" xfId="0" applyBorder="1" applyAlignment="1">
      <alignment horizontal="left"/>
    </xf>
    <xf numFmtId="0" fontId="0" fillId="0" borderId="22" xfId="0" applyBorder="1"/>
    <xf numFmtId="0" fontId="0" fillId="0" borderId="0" xfId="0" applyAlignment="1">
      <alignment horizontal="center"/>
    </xf>
    <xf numFmtId="0" fontId="2" fillId="0" borderId="15" xfId="0" applyFont="1" applyBorder="1" applyAlignment="1">
      <alignment horizontal="center" wrapText="1"/>
    </xf>
    <xf numFmtId="166" fontId="2" fillId="0" borderId="15" xfId="0" applyNumberFormat="1" applyFont="1" applyBorder="1" applyAlignment="1">
      <alignment vertical="center"/>
    </xf>
    <xf numFmtId="49" fontId="2" fillId="0" borderId="4" xfId="0" applyNumberFormat="1" applyFont="1" applyBorder="1" applyAlignment="1">
      <alignment horizontal="center" vertical="center"/>
    </xf>
    <xf numFmtId="0" fontId="9" fillId="0" borderId="4" xfId="0" applyFont="1" applyBorder="1" applyAlignment="1">
      <alignment horizontal="center" vertical="center" wrapText="1"/>
    </xf>
    <xf numFmtId="0" fontId="5" fillId="0" borderId="2" xfId="0" applyFont="1" applyFill="1" applyBorder="1" applyAlignment="1">
      <alignment horizontal="center" wrapText="1"/>
    </xf>
    <xf numFmtId="0" fontId="8" fillId="0" borderId="24" xfId="0" applyFont="1" applyFill="1" applyBorder="1" applyAlignment="1">
      <alignment horizontal="center"/>
    </xf>
    <xf numFmtId="0" fontId="8" fillId="0" borderId="0" xfId="0" applyFont="1" applyFill="1" applyBorder="1"/>
    <xf numFmtId="0" fontId="8" fillId="0" borderId="21" xfId="0" applyFont="1" applyFill="1" applyBorder="1"/>
    <xf numFmtId="0" fontId="8" fillId="0" borderId="2" xfId="0" applyFont="1" applyFill="1" applyBorder="1" applyAlignment="1">
      <alignment horizontal="center"/>
    </xf>
    <xf numFmtId="0" fontId="8" fillId="0" borderId="15" xfId="0" applyFont="1" applyFill="1" applyBorder="1" applyAlignment="1">
      <alignment horizontal="center"/>
    </xf>
    <xf numFmtId="0" fontId="8" fillId="0" borderId="14" xfId="0" applyFont="1" applyFill="1" applyBorder="1" applyAlignment="1">
      <alignment wrapText="1"/>
    </xf>
    <xf numFmtId="0" fontId="8" fillId="0" borderId="25" xfId="0" applyFont="1" applyFill="1" applyBorder="1"/>
    <xf numFmtId="0" fontId="8" fillId="0" borderId="8" xfId="0" applyFont="1" applyFill="1" applyBorder="1" applyAlignment="1">
      <alignment horizontal="center" vertical="top"/>
    </xf>
    <xf numFmtId="0" fontId="8" fillId="0" borderId="10" xfId="0" applyFont="1" applyFill="1" applyBorder="1" applyAlignment="1">
      <alignment vertical="top" wrapText="1"/>
    </xf>
    <xf numFmtId="0" fontId="8" fillId="0" borderId="26" xfId="0" applyFont="1" applyFill="1" applyBorder="1" applyAlignment="1">
      <alignment horizontal="center" vertical="center" wrapText="1"/>
    </xf>
    <xf numFmtId="0" fontId="8" fillId="0" borderId="26" xfId="0" applyFont="1" applyFill="1" applyBorder="1" applyAlignment="1">
      <alignment horizontal="center" wrapText="1"/>
    </xf>
    <xf numFmtId="0" fontId="8" fillId="0" borderId="16" xfId="0" applyFont="1" applyFill="1" applyBorder="1" applyAlignment="1">
      <alignment horizontal="center"/>
    </xf>
    <xf numFmtId="0" fontId="8" fillId="0" borderId="23" xfId="0" applyFont="1" applyFill="1" applyBorder="1" applyAlignment="1">
      <alignment wrapText="1"/>
    </xf>
    <xf numFmtId="0" fontId="8" fillId="0" borderId="27" xfId="0" applyFont="1" applyFill="1" applyBorder="1" applyAlignment="1">
      <alignment wrapText="1"/>
    </xf>
    <xf numFmtId="0" fontId="8" fillId="0" borderId="25" xfId="0" applyFont="1" applyFill="1" applyBorder="1" applyAlignment="1">
      <alignment wrapText="1"/>
    </xf>
    <xf numFmtId="0" fontId="5"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wrapText="1"/>
    </xf>
    <xf numFmtId="0" fontId="8" fillId="0" borderId="2" xfId="0" applyFont="1" applyFill="1" applyBorder="1" applyAlignment="1">
      <alignment horizontal="center" vertical="center"/>
    </xf>
    <xf numFmtId="0" fontId="5" fillId="0" borderId="7" xfId="0" applyFont="1" applyFill="1" applyBorder="1" applyAlignment="1">
      <alignment horizontal="center" vertical="center" wrapText="1"/>
    </xf>
    <xf numFmtId="0" fontId="7" fillId="0" borderId="0" xfId="0" applyFont="1" applyAlignment="1"/>
    <xf numFmtId="0" fontId="7" fillId="0" borderId="20" xfId="0" applyFont="1" applyBorder="1"/>
    <xf numFmtId="0" fontId="0" fillId="0" borderId="21" xfId="0" applyBorder="1"/>
    <xf numFmtId="49" fontId="7" fillId="0" borderId="20" xfId="0" applyNumberFormat="1" applyFont="1" applyBorder="1"/>
    <xf numFmtId="49" fontId="10" fillId="0" borderId="20" xfId="0" applyNumberFormat="1" applyFont="1" applyBorder="1"/>
    <xf numFmtId="0" fontId="0" fillId="0" borderId="20" xfId="0" applyBorder="1"/>
    <xf numFmtId="0" fontId="8" fillId="0" borderId="26" xfId="0" applyFont="1" applyFill="1" applyBorder="1" applyAlignment="1">
      <alignment vertical="top" wrapText="1"/>
    </xf>
    <xf numFmtId="0" fontId="8" fillId="0" borderId="11" xfId="0" applyFont="1" applyFill="1" applyBorder="1" applyAlignment="1">
      <alignment horizontal="center"/>
    </xf>
    <xf numFmtId="0" fontId="8" fillId="0" borderId="12" xfId="0" applyFont="1" applyFill="1" applyBorder="1" applyAlignment="1">
      <alignment wrapText="1"/>
    </xf>
    <xf numFmtId="0" fontId="7" fillId="0" borderId="0" xfId="0" applyFont="1" applyBorder="1"/>
    <xf numFmtId="49" fontId="7" fillId="0" borderId="0" xfId="0" applyNumberFormat="1" applyFont="1" applyBorder="1"/>
    <xf numFmtId="49" fontId="10" fillId="0" borderId="0" xfId="0" applyNumberFormat="1" applyFont="1" applyBorder="1"/>
    <xf numFmtId="0" fontId="0" fillId="0" borderId="0" xfId="0" applyBorder="1"/>
    <xf numFmtId="0" fontId="8" fillId="0" borderId="21" xfId="0" applyFont="1" applyFill="1" applyBorder="1" applyAlignment="1">
      <alignment horizontal="center"/>
    </xf>
    <xf numFmtId="0" fontId="8" fillId="0" borderId="25" xfId="0" applyFont="1" applyFill="1" applyBorder="1" applyAlignment="1">
      <alignment horizontal="center"/>
    </xf>
    <xf numFmtId="0" fontId="8" fillId="0" borderId="26" xfId="0" applyFont="1" applyFill="1" applyBorder="1" applyAlignment="1">
      <alignment horizontal="center" vertical="top"/>
    </xf>
    <xf numFmtId="0" fontId="8" fillId="0" borderId="12" xfId="0" applyFont="1" applyFill="1" applyBorder="1" applyAlignment="1">
      <alignment horizontal="center"/>
    </xf>
    <xf numFmtId="0" fontId="5" fillId="0" borderId="3" xfId="0" applyFont="1" applyFill="1" applyBorder="1" applyAlignment="1">
      <alignment horizontal="center"/>
    </xf>
    <xf numFmtId="0" fontId="5" fillId="0" borderId="3" xfId="0" applyFont="1" applyFill="1" applyBorder="1" applyAlignment="1">
      <alignment horizontal="center" vertical="center"/>
    </xf>
    <xf numFmtId="0" fontId="5" fillId="0" borderId="7" xfId="0" applyFont="1" applyFill="1" applyBorder="1" applyAlignment="1">
      <alignment horizontal="center" vertical="center"/>
    </xf>
    <xf numFmtId="0" fontId="8" fillId="0" borderId="3" xfId="0" applyFont="1" applyFill="1" applyBorder="1" applyAlignment="1">
      <alignment horizontal="center" vertical="center"/>
    </xf>
    <xf numFmtId="165" fontId="2" fillId="0" borderId="0" xfId="1" applyFont="1"/>
    <xf numFmtId="165" fontId="2" fillId="0" borderId="0" xfId="1" applyFont="1" applyAlignment="1">
      <alignment horizontal="center" vertical="center"/>
    </xf>
    <xf numFmtId="165" fontId="0" fillId="0" borderId="0" xfId="1" applyFont="1"/>
    <xf numFmtId="166" fontId="2" fillId="0" borderId="0" xfId="1" applyNumberFormat="1" applyFont="1" applyAlignment="1">
      <alignment horizontal="center" vertical="center"/>
    </xf>
    <xf numFmtId="166" fontId="0" fillId="0" borderId="0" xfId="1" applyNumberFormat="1" applyFont="1"/>
    <xf numFmtId="166" fontId="3" fillId="0" borderId="0" xfId="1" applyNumberFormat="1" applyFont="1"/>
    <xf numFmtId="0" fontId="2" fillId="0" borderId="15" xfId="0" applyFont="1" applyBorder="1" applyAlignment="1">
      <alignment horizontal="center" vertical="center" wrapText="1"/>
    </xf>
    <xf numFmtId="166" fontId="0" fillId="0" borderId="0" xfId="0" applyNumberFormat="1"/>
    <xf numFmtId="166" fontId="2" fillId="0" borderId="15" xfId="1" applyNumberFormat="1" applyFont="1" applyBorder="1" applyAlignment="1">
      <alignment horizontal="center" vertical="center" wrapText="1"/>
    </xf>
    <xf numFmtId="0" fontId="3" fillId="0" borderId="0" xfId="0" applyFont="1" applyBorder="1" applyAlignment="1">
      <alignment horizontal="left"/>
    </xf>
    <xf numFmtId="0" fontId="3" fillId="0" borderId="0" xfId="0" applyFont="1" applyAlignment="1">
      <alignment horizontal="center"/>
    </xf>
    <xf numFmtId="0" fontId="9" fillId="0" borderId="4" xfId="0" applyFont="1" applyFill="1" applyBorder="1" applyAlignment="1">
      <alignment horizontal="center" vertical="center" wrapText="1"/>
    </xf>
    <xf numFmtId="0" fontId="3" fillId="0" borderId="0" xfId="0" applyFont="1" applyFill="1" applyAlignment="1">
      <alignment horizontal="center"/>
    </xf>
    <xf numFmtId="0" fontId="2" fillId="0" borderId="17" xfId="0" applyFont="1" applyFill="1" applyBorder="1"/>
    <xf numFmtId="0" fontId="2" fillId="0" borderId="18" xfId="0" applyFont="1" applyFill="1" applyBorder="1"/>
    <xf numFmtId="0" fontId="2" fillId="0" borderId="20" xfId="0" applyFont="1" applyFill="1" applyBorder="1"/>
    <xf numFmtId="14" fontId="2" fillId="0" borderId="0" xfId="0" applyNumberFormat="1" applyFont="1" applyFill="1" applyBorder="1" applyAlignment="1">
      <alignment horizontal="left"/>
    </xf>
    <xf numFmtId="0" fontId="2" fillId="0" borderId="28" xfId="0" applyFont="1" applyFill="1" applyBorder="1"/>
    <xf numFmtId="0" fontId="2" fillId="0" borderId="9" xfId="0" applyFont="1" applyFill="1" applyBorder="1"/>
    <xf numFmtId="167" fontId="3" fillId="0" borderId="19" xfId="2" applyNumberFormat="1" applyFont="1" applyFill="1" applyBorder="1" applyAlignment="1">
      <alignment horizontal="right"/>
    </xf>
    <xf numFmtId="167" fontId="3" fillId="0" borderId="21" xfId="2" applyNumberFormat="1" applyFont="1" applyFill="1" applyBorder="1" applyAlignment="1">
      <alignment horizontal="right"/>
    </xf>
    <xf numFmtId="0" fontId="3" fillId="0" borderId="0" xfId="0" applyFont="1" applyBorder="1"/>
    <xf numFmtId="0" fontId="2" fillId="0" borderId="21" xfId="0" applyFont="1" applyFill="1" applyBorder="1"/>
    <xf numFmtId="167" fontId="3" fillId="0" borderId="5" xfId="2" applyNumberFormat="1" applyFont="1" applyFill="1" applyBorder="1" applyAlignment="1">
      <alignment horizontal="right"/>
    </xf>
    <xf numFmtId="0" fontId="2" fillId="0" borderId="0" xfId="0" applyFont="1" applyAlignment="1"/>
    <xf numFmtId="165" fontId="2" fillId="0" borderId="0" xfId="1" applyFont="1" applyBorder="1"/>
    <xf numFmtId="166" fontId="2" fillId="0" borderId="0" xfId="1" applyNumberFormat="1" applyFont="1" applyBorder="1"/>
    <xf numFmtId="166" fontId="3" fillId="0" borderId="0" xfId="1" applyNumberFormat="1" applyFont="1" applyBorder="1"/>
    <xf numFmtId="0" fontId="2" fillId="0" borderId="0" xfId="0" applyFont="1" applyBorder="1" applyAlignment="1">
      <alignment horizontal="center" vertical="center"/>
    </xf>
    <xf numFmtId="0" fontId="2" fillId="0" borderId="0" xfId="0" applyFont="1" applyBorder="1" applyAlignment="1">
      <alignment vertical="center"/>
    </xf>
    <xf numFmtId="0" fontId="2" fillId="0" borderId="0" xfId="0" applyFont="1" applyFill="1" applyBorder="1" applyAlignment="1">
      <alignment vertical="center" wrapText="1"/>
    </xf>
    <xf numFmtId="0" fontId="3" fillId="0" borderId="0" xfId="0" applyFont="1" applyBorder="1" applyAlignment="1">
      <alignment horizontal="center" vertical="center"/>
    </xf>
    <xf numFmtId="165" fontId="3" fillId="0" borderId="0" xfId="1" applyFont="1" applyBorder="1" applyAlignment="1">
      <alignment horizontal="center" vertical="center"/>
    </xf>
    <xf numFmtId="166" fontId="3" fillId="0" borderId="0" xfId="1" applyNumberFormat="1" applyFont="1" applyBorder="1" applyAlignment="1">
      <alignment horizontal="center" vertical="center"/>
    </xf>
    <xf numFmtId="0" fontId="3" fillId="0" borderId="2" xfId="0" applyFont="1" applyBorder="1" applyAlignment="1">
      <alignment horizontal="center" vertical="center"/>
    </xf>
    <xf numFmtId="0" fontId="0" fillId="0" borderId="0" xfId="0" applyAlignment="1">
      <alignment horizontal="center" vertical="center"/>
    </xf>
    <xf numFmtId="0" fontId="0" fillId="0" borderId="0" xfId="0" applyAlignment="1">
      <alignment wrapText="1"/>
    </xf>
    <xf numFmtId="0" fontId="12" fillId="0" borderId="9" xfId="0" applyFont="1" applyFill="1" applyBorder="1"/>
    <xf numFmtId="14" fontId="12" fillId="0" borderId="0" xfId="0" applyNumberFormat="1" applyFont="1" applyFill="1" applyBorder="1" applyAlignment="1">
      <alignment horizontal="left"/>
    </xf>
    <xf numFmtId="0" fontId="2" fillId="0" borderId="0" xfId="0" applyFont="1" applyFill="1" applyBorder="1" applyAlignment="1">
      <alignment horizontal="left"/>
    </xf>
    <xf numFmtId="167" fontId="3" fillId="0" borderId="0" xfId="2" applyNumberFormat="1" applyFont="1" applyFill="1" applyAlignment="1">
      <alignment horizontal="right" wrapText="1"/>
    </xf>
    <xf numFmtId="0" fontId="0" fillId="0" borderId="0" xfId="0" applyBorder="1" applyAlignment="1">
      <alignment wrapText="1"/>
    </xf>
    <xf numFmtId="0" fontId="3" fillId="0" borderId="0" xfId="0" applyFont="1" applyFill="1" applyAlignment="1"/>
    <xf numFmtId="0" fontId="13" fillId="0" borderId="0" xfId="0" applyFont="1" applyAlignment="1"/>
    <xf numFmtId="0" fontId="7" fillId="0" borderId="0" xfId="0" applyFont="1" applyAlignment="1">
      <alignment horizontal="center" wrapText="1"/>
    </xf>
    <xf numFmtId="0" fontId="0" fillId="0" borderId="0" xfId="0" applyAlignment="1">
      <alignment horizontal="left"/>
    </xf>
    <xf numFmtId="0" fontId="0" fillId="0" borderId="0" xfId="0" applyFill="1"/>
    <xf numFmtId="0" fontId="13" fillId="0" borderId="0" xfId="0" applyFont="1" applyFill="1" applyAlignment="1"/>
    <xf numFmtId="0" fontId="7" fillId="0" borderId="0" xfId="0" applyFont="1" applyFill="1" applyAlignment="1"/>
    <xf numFmtId="0" fontId="7" fillId="0" borderId="2" xfId="0" applyFont="1" applyFill="1" applyBorder="1" applyAlignment="1">
      <alignment horizontal="center"/>
    </xf>
    <xf numFmtId="0" fontId="0" fillId="0" borderId="7" xfId="0" applyFill="1" applyBorder="1"/>
    <xf numFmtId="0" fontId="3" fillId="0" borderId="6" xfId="0" applyFont="1" applyFill="1" applyBorder="1" applyAlignment="1"/>
    <xf numFmtId="0" fontId="0" fillId="0" borderId="3" xfId="0" applyFill="1" applyBorder="1"/>
    <xf numFmtId="166" fontId="7" fillId="0" borderId="2" xfId="1" applyNumberFormat="1" applyFont="1" applyFill="1" applyBorder="1" applyAlignment="1">
      <alignment horizontal="right"/>
    </xf>
    <xf numFmtId="0" fontId="7" fillId="0" borderId="0" xfId="0" applyFont="1" applyFill="1" applyAlignment="1">
      <alignment horizontal="center" wrapText="1"/>
    </xf>
    <xf numFmtId="0" fontId="0" fillId="0" borderId="0" xfId="0" applyFill="1" applyAlignment="1">
      <alignment horizontal="center"/>
    </xf>
    <xf numFmtId="0" fontId="14" fillId="0" borderId="6" xfId="0" applyFont="1" applyFill="1" applyBorder="1"/>
    <xf numFmtId="0" fontId="2" fillId="0" borderId="19" xfId="0" applyFont="1" applyFill="1" applyBorder="1" applyAlignment="1">
      <alignment horizontal="left"/>
    </xf>
    <xf numFmtId="0" fontId="2" fillId="0" borderId="21" xfId="0" applyFont="1" applyFill="1" applyBorder="1" applyAlignment="1">
      <alignment horizontal="left"/>
    </xf>
    <xf numFmtId="14" fontId="2" fillId="0" borderId="21" xfId="0" applyNumberFormat="1" applyFont="1" applyFill="1" applyBorder="1" applyAlignment="1">
      <alignment horizontal="left"/>
    </xf>
    <xf numFmtId="0" fontId="2" fillId="0" borderId="5" xfId="0" applyFont="1" applyFill="1" applyBorder="1" applyAlignment="1">
      <alignment horizontal="left"/>
    </xf>
    <xf numFmtId="0" fontId="9" fillId="0" borderId="0" xfId="0" applyFont="1" applyFill="1" applyBorder="1" applyAlignment="1">
      <alignment horizontal="center" vertical="center" wrapText="1"/>
    </xf>
    <xf numFmtId="49" fontId="3" fillId="0" borderId="2" xfId="0" applyNumberFormat="1" applyFont="1" applyBorder="1" applyAlignment="1">
      <alignment vertical="top"/>
    </xf>
    <xf numFmtId="49" fontId="2" fillId="0" borderId="2" xfId="0" applyNumberFormat="1" applyFont="1" applyBorder="1" applyAlignment="1">
      <alignment horizontal="center" vertical="top" wrapText="1"/>
    </xf>
    <xf numFmtId="49" fontId="3" fillId="0" borderId="2" xfId="0" applyNumberFormat="1" applyFont="1" applyBorder="1" applyAlignment="1">
      <alignment horizontal="center" vertical="top"/>
    </xf>
    <xf numFmtId="169" fontId="3" fillId="0" borderId="2" xfId="0" applyNumberFormat="1" applyFont="1" applyBorder="1" applyAlignment="1">
      <alignment horizontal="right" vertical="top"/>
    </xf>
    <xf numFmtId="0" fontId="16" fillId="0" borderId="0" xfId="0" applyFont="1" applyFill="1" applyBorder="1" applyAlignment="1">
      <alignment vertical="center" wrapText="1"/>
    </xf>
    <xf numFmtId="0" fontId="7" fillId="0" borderId="31" xfId="0" applyFont="1" applyBorder="1" applyAlignment="1">
      <alignment horizontal="center" vertical="center" wrapText="1"/>
    </xf>
    <xf numFmtId="10" fontId="0" fillId="0" borderId="2" xfId="9" applyNumberFormat="1" applyFont="1" applyBorder="1"/>
    <xf numFmtId="166" fontId="0" fillId="0" borderId="30" xfId="1" applyNumberFormat="1" applyFont="1" applyFill="1" applyBorder="1" applyAlignment="1">
      <alignment horizontal="center" vertical="center"/>
    </xf>
    <xf numFmtId="166" fontId="0" fillId="0" borderId="4" xfId="1" applyNumberFormat="1" applyFont="1" applyFill="1" applyBorder="1" applyAlignment="1">
      <alignment horizontal="center" vertical="center"/>
    </xf>
    <xf numFmtId="0" fontId="7" fillId="0" borderId="30" xfId="0" applyFont="1" applyFill="1" applyBorder="1" applyAlignment="1">
      <alignment horizontal="center"/>
    </xf>
    <xf numFmtId="166" fontId="7" fillId="0" borderId="4" xfId="1" applyNumberFormat="1" applyFont="1" applyFill="1" applyBorder="1" applyAlignment="1">
      <alignment horizontal="right"/>
    </xf>
    <xf numFmtId="0" fontId="3" fillId="0" borderId="4" xfId="0" applyFont="1" applyFill="1" applyBorder="1" applyAlignment="1"/>
    <xf numFmtId="0" fontId="0" fillId="0" borderId="4" xfId="0" applyFill="1" applyBorder="1"/>
    <xf numFmtId="166" fontId="0" fillId="0" borderId="4" xfId="1" applyNumberFormat="1" applyFont="1" applyFill="1" applyBorder="1"/>
    <xf numFmtId="0" fontId="0" fillId="0" borderId="16" xfId="0" applyFill="1" applyBorder="1"/>
    <xf numFmtId="0" fontId="0" fillId="0" borderId="2" xfId="0" applyFill="1" applyBorder="1"/>
    <xf numFmtId="0" fontId="7" fillId="0" borderId="2" xfId="0" applyFont="1" applyFill="1" applyBorder="1" applyAlignment="1">
      <alignment horizontal="right"/>
    </xf>
    <xf numFmtId="14" fontId="0" fillId="0" borderId="0" xfId="0" applyNumberFormat="1" applyAlignment="1">
      <alignment horizontal="left"/>
    </xf>
    <xf numFmtId="0" fontId="3" fillId="0" borderId="7" xfId="0" applyFont="1" applyFill="1" applyBorder="1" applyAlignment="1"/>
    <xf numFmtId="0" fontId="3" fillId="0" borderId="3" xfId="0" applyFont="1" applyFill="1" applyBorder="1" applyAlignment="1"/>
    <xf numFmtId="166" fontId="0" fillId="0" borderId="0" xfId="0" applyNumberFormat="1" applyAlignment="1">
      <alignment horizontal="left"/>
    </xf>
    <xf numFmtId="0" fontId="14" fillId="0" borderId="16" xfId="0" applyFont="1" applyFill="1" applyBorder="1"/>
    <xf numFmtId="166" fontId="0" fillId="0" borderId="16" xfId="0" applyNumberFormat="1" applyFill="1" applyBorder="1"/>
    <xf numFmtId="0" fontId="0" fillId="0" borderId="2" xfId="0" applyFill="1" applyBorder="1" applyAlignment="1">
      <alignment vertical="center"/>
    </xf>
    <xf numFmtId="0" fontId="3" fillId="4" borderId="0" xfId="0" applyFont="1" applyFill="1" applyAlignment="1">
      <alignment horizontal="center"/>
    </xf>
    <xf numFmtId="0" fontId="2" fillId="0" borderId="0" xfId="0" applyFont="1" applyAlignment="1">
      <alignment horizontal="center"/>
    </xf>
    <xf numFmtId="0" fontId="3" fillId="0" borderId="0" xfId="0" applyFont="1" applyAlignment="1">
      <alignment horizontal="center"/>
    </xf>
    <xf numFmtId="0" fontId="3" fillId="0" borderId="0" xfId="0" applyFont="1" applyAlignment="1">
      <alignment horizontal="left"/>
    </xf>
    <xf numFmtId="0" fontId="0" fillId="0" borderId="0" xfId="0" applyAlignment="1">
      <alignment horizontal="center"/>
    </xf>
    <xf numFmtId="0" fontId="0" fillId="0" borderId="2" xfId="0" applyFill="1" applyBorder="1" applyAlignment="1">
      <alignment horizontal="center" vertical="center"/>
    </xf>
    <xf numFmtId="0" fontId="7" fillId="0" borderId="30" xfId="0" applyFont="1" applyFill="1" applyBorder="1" applyAlignment="1">
      <alignment horizontal="center"/>
    </xf>
    <xf numFmtId="0" fontId="0" fillId="0" borderId="2" xfId="0" applyFill="1" applyBorder="1" applyAlignment="1">
      <alignment vertical="center" wrapText="1"/>
    </xf>
    <xf numFmtId="0" fontId="0" fillId="0" borderId="2" xfId="0" applyFill="1" applyBorder="1" applyAlignment="1">
      <alignment horizontal="left" vertical="center" wrapText="1"/>
    </xf>
    <xf numFmtId="0" fontId="0" fillId="0" borderId="30" xfId="0" applyFill="1" applyBorder="1" applyAlignment="1">
      <alignment vertical="center" wrapText="1"/>
    </xf>
    <xf numFmtId="0" fontId="0" fillId="0" borderId="4" xfId="0" applyFill="1" applyBorder="1" applyAlignment="1">
      <alignment vertical="center" wrapText="1"/>
    </xf>
    <xf numFmtId="0" fontId="0" fillId="0" borderId="4" xfId="0" applyFill="1" applyBorder="1" applyAlignment="1">
      <alignment horizontal="left" vertical="center" wrapText="1"/>
    </xf>
    <xf numFmtId="0" fontId="15" fillId="0" borderId="0" xfId="0" applyFont="1"/>
    <xf numFmtId="0" fontId="15" fillId="0" borderId="8" xfId="0" applyFont="1" applyBorder="1" applyAlignment="1">
      <alignment horizontal="center"/>
    </xf>
    <xf numFmtId="0" fontId="15" fillId="0" borderId="8" xfId="0" applyFont="1" applyBorder="1"/>
    <xf numFmtId="0" fontId="15" fillId="0" borderId="8" xfId="0" applyFont="1" applyBorder="1" applyAlignment="1">
      <alignment wrapText="1"/>
    </xf>
    <xf numFmtId="0" fontId="15" fillId="0" borderId="2" xfId="0" applyFont="1" applyBorder="1" applyAlignment="1">
      <alignment horizontal="center"/>
    </xf>
    <xf numFmtId="0" fontId="15" fillId="0" borderId="2" xfId="0" applyFont="1" applyBorder="1"/>
    <xf numFmtId="0" fontId="15" fillId="0" borderId="2" xfId="0" applyFont="1" applyBorder="1" applyAlignment="1">
      <alignment horizontal="right"/>
    </xf>
    <xf numFmtId="0" fontId="2" fillId="0" borderId="24" xfId="0" applyFont="1" applyBorder="1" applyAlignment="1">
      <alignment horizontal="center" vertical="center"/>
    </xf>
    <xf numFmtId="0" fontId="2" fillId="0" borderId="24" xfId="0" applyFont="1" applyBorder="1" applyAlignment="1">
      <alignment horizontal="center" wrapText="1"/>
    </xf>
    <xf numFmtId="166" fontId="2" fillId="0" borderId="24" xfId="0" applyNumberFormat="1" applyFont="1" applyBorder="1" applyAlignment="1">
      <alignment vertical="center"/>
    </xf>
    <xf numFmtId="166" fontId="2" fillId="0" borderId="24" xfId="1" applyNumberFormat="1" applyFont="1" applyBorder="1" applyAlignment="1">
      <alignment vertical="center" wrapText="1"/>
    </xf>
    <xf numFmtId="0" fontId="2" fillId="0" borderId="24" xfId="0" applyFont="1" applyBorder="1" applyAlignment="1">
      <alignment horizontal="center" vertical="center" wrapText="1"/>
    </xf>
    <xf numFmtId="14" fontId="2" fillId="0" borderId="24" xfId="0" applyNumberFormat="1" applyFont="1" applyBorder="1" applyAlignment="1">
      <alignment horizontal="center" vertical="center"/>
    </xf>
    <xf numFmtId="14" fontId="16" fillId="0" borderId="0" xfId="0" applyNumberFormat="1" applyFont="1" applyFill="1" applyBorder="1" applyAlignment="1">
      <alignment vertical="center"/>
    </xf>
    <xf numFmtId="0" fontId="15" fillId="0" borderId="0" xfId="0" applyFont="1" applyBorder="1"/>
    <xf numFmtId="0" fontId="2" fillId="0" borderId="0" xfId="0" applyFont="1" applyFill="1" applyAlignment="1">
      <alignment vertical="top"/>
    </xf>
    <xf numFmtId="0" fontId="2" fillId="0" borderId="0" xfId="0" applyFont="1" applyFill="1" applyAlignment="1">
      <alignment horizontal="center" vertical="top"/>
    </xf>
    <xf numFmtId="0" fontId="3" fillId="6" borderId="0" xfId="0" applyFont="1" applyFill="1" applyBorder="1" applyAlignment="1">
      <alignment vertical="top"/>
    </xf>
    <xf numFmtId="0" fontId="21" fillId="0" borderId="0" xfId="0" applyFont="1" applyFill="1" applyBorder="1" applyAlignment="1">
      <alignment vertical="top" wrapText="1"/>
    </xf>
    <xf numFmtId="0" fontId="3" fillId="0" borderId="0" xfId="0" applyFont="1" applyFill="1" applyBorder="1" applyAlignment="1">
      <alignment vertical="top"/>
    </xf>
    <xf numFmtId="166" fontId="2" fillId="0" borderId="15" xfId="0" applyNumberFormat="1" applyFont="1" applyFill="1" applyBorder="1" applyAlignment="1">
      <alignment vertical="center"/>
    </xf>
    <xf numFmtId="0" fontId="3" fillId="0" borderId="9" xfId="0" applyFont="1" applyBorder="1" applyAlignment="1"/>
    <xf numFmtId="0" fontId="0" fillId="0" borderId="0" xfId="0"/>
    <xf numFmtId="165" fontId="2" fillId="0" borderId="0" xfId="1" applyFont="1" applyBorder="1" applyAlignment="1">
      <alignment horizontal="center" vertical="center"/>
    </xf>
    <xf numFmtId="166" fontId="2" fillId="0" borderId="0" xfId="1" applyNumberFormat="1" applyFont="1" applyBorder="1" applyAlignment="1">
      <alignment horizontal="center" vertical="center"/>
    </xf>
    <xf numFmtId="0" fontId="3" fillId="0" borderId="0" xfId="0" applyFont="1" applyAlignment="1">
      <alignment horizontal="left" wrapText="1"/>
    </xf>
    <xf numFmtId="0" fontId="0" fillId="0" borderId="19" xfId="0" applyBorder="1"/>
    <xf numFmtId="0" fontId="0" fillId="0" borderId="5" xfId="0" applyBorder="1"/>
    <xf numFmtId="0" fontId="0" fillId="0" borderId="0" xfId="0" applyFont="1"/>
    <xf numFmtId="0" fontId="0" fillId="0" borderId="0" xfId="0" applyFont="1" applyBorder="1"/>
    <xf numFmtId="0" fontId="0" fillId="0" borderId="0" xfId="0" applyFont="1" applyBorder="1" applyAlignment="1">
      <alignment wrapText="1"/>
    </xf>
    <xf numFmtId="0" fontId="11" fillId="0" borderId="2" xfId="0" applyFont="1" applyBorder="1" applyAlignment="1">
      <alignment horizontal="center"/>
    </xf>
    <xf numFmtId="0" fontId="11" fillId="0" borderId="2" xfId="0" applyFont="1" applyBorder="1"/>
    <xf numFmtId="0" fontId="11" fillId="0" borderId="0" xfId="0" applyFont="1"/>
    <xf numFmtId="165" fontId="15" fillId="0" borderId="8" xfId="1" applyFont="1" applyBorder="1" applyAlignment="1">
      <alignment horizontal="center"/>
    </xf>
    <xf numFmtId="165" fontId="11" fillId="0" borderId="2" xfId="1" applyFont="1" applyBorder="1" applyAlignment="1">
      <alignment horizontal="center"/>
    </xf>
    <xf numFmtId="0" fontId="11" fillId="0" borderId="0" xfId="0" applyFont="1" applyBorder="1"/>
    <xf numFmtId="0" fontId="15" fillId="0" borderId="22" xfId="0" applyFont="1" applyBorder="1"/>
    <xf numFmtId="0" fontId="15" fillId="0" borderId="22" xfId="0" applyFont="1" applyBorder="1" applyAlignment="1">
      <alignment vertical="center" wrapText="1"/>
    </xf>
    <xf numFmtId="0" fontId="15" fillId="0" borderId="22" xfId="0" applyFont="1" applyBorder="1" applyAlignment="1">
      <alignment vertical="center"/>
    </xf>
    <xf numFmtId="0" fontId="15" fillId="0" borderId="22" xfId="0" applyFont="1" applyBorder="1" applyAlignment="1">
      <alignment horizontal="center" vertical="center"/>
    </xf>
    <xf numFmtId="2" fontId="15" fillId="0" borderId="22" xfId="0" applyNumberFormat="1" applyFont="1" applyBorder="1" applyAlignment="1">
      <alignment vertical="center"/>
    </xf>
    <xf numFmtId="0" fontId="15" fillId="0" borderId="22" xfId="0" applyFont="1" applyBorder="1" applyAlignment="1">
      <alignment horizontal="center"/>
    </xf>
    <xf numFmtId="14" fontId="15" fillId="0" borderId="22" xfId="0" applyNumberFormat="1" applyFont="1" applyBorder="1" applyAlignment="1">
      <alignment horizontal="center"/>
    </xf>
    <xf numFmtId="0" fontId="15" fillId="0" borderId="40" xfId="0" applyFont="1" applyBorder="1"/>
    <xf numFmtId="0" fontId="15" fillId="0" borderId="40" xfId="0" applyFont="1" applyBorder="1" applyAlignment="1">
      <alignment vertical="center" wrapText="1"/>
    </xf>
    <xf numFmtId="2" fontId="15" fillId="0" borderId="0" xfId="0" applyNumberFormat="1" applyFont="1" applyBorder="1" applyAlignment="1">
      <alignment vertical="center"/>
    </xf>
    <xf numFmtId="0" fontId="15" fillId="0" borderId="41" xfId="0" applyFont="1" applyBorder="1" applyAlignment="1">
      <alignment horizontal="center" vertical="center"/>
    </xf>
    <xf numFmtId="0" fontId="15" fillId="0" borderId="42" xfId="0" applyFont="1" applyBorder="1" applyAlignment="1">
      <alignment vertical="center" wrapText="1"/>
    </xf>
    <xf numFmtId="0" fontId="15" fillId="0" borderId="43" xfId="0" applyFont="1" applyBorder="1"/>
    <xf numFmtId="0" fontId="15" fillId="0" borderId="43" xfId="0" applyFont="1" applyBorder="1" applyAlignment="1">
      <alignment vertical="center"/>
    </xf>
    <xf numFmtId="2" fontId="15" fillId="0" borderId="43" xfId="0" applyNumberFormat="1" applyFont="1" applyBorder="1" applyAlignment="1">
      <alignment vertical="center"/>
    </xf>
    <xf numFmtId="0" fontId="15" fillId="0" borderId="43" xfId="0" applyFont="1" applyBorder="1" applyAlignment="1">
      <alignment vertical="center" wrapText="1"/>
    </xf>
    <xf numFmtId="0" fontId="15" fillId="0" borderId="43" xfId="0" applyFont="1" applyBorder="1" applyAlignment="1">
      <alignment horizontal="center" vertical="center"/>
    </xf>
    <xf numFmtId="0" fontId="15" fillId="0" borderId="44" xfId="0" applyFont="1" applyBorder="1" applyAlignment="1">
      <alignment horizontal="center" vertical="center"/>
    </xf>
    <xf numFmtId="0" fontId="15" fillId="0" borderId="45" xfId="0" applyFont="1" applyBorder="1"/>
    <xf numFmtId="0" fontId="15" fillId="0" borderId="46" xfId="0" applyFont="1" applyBorder="1"/>
    <xf numFmtId="0" fontId="15" fillId="0" borderId="46" xfId="0" applyFont="1" applyBorder="1" applyAlignment="1">
      <alignment vertical="center" wrapText="1"/>
    </xf>
    <xf numFmtId="0" fontId="11" fillId="0" borderId="48" xfId="0" applyFont="1" applyBorder="1" applyAlignment="1">
      <alignment vertical="center" wrapText="1"/>
    </xf>
    <xf numFmtId="0" fontId="11" fillId="0" borderId="49" xfId="0" applyFont="1" applyBorder="1" applyAlignment="1">
      <alignment vertical="center" wrapText="1"/>
    </xf>
    <xf numFmtId="0" fontId="11" fillId="0" borderId="49" xfId="0" applyFont="1" applyBorder="1" applyAlignment="1">
      <alignment horizontal="left" vertical="top" wrapText="1"/>
    </xf>
    <xf numFmtId="0" fontId="11" fillId="0" borderId="49" xfId="0" applyFont="1" applyBorder="1" applyAlignment="1">
      <alignment vertical="top" wrapText="1"/>
    </xf>
    <xf numFmtId="0" fontId="11" fillId="0" borderId="49" xfId="0" applyFont="1" applyBorder="1" applyAlignment="1">
      <alignment vertical="top"/>
    </xf>
    <xf numFmtId="0" fontId="11" fillId="0" borderId="52" xfId="0" applyFont="1" applyBorder="1" applyAlignment="1">
      <alignment vertical="top" wrapText="1"/>
    </xf>
    <xf numFmtId="0" fontId="15" fillId="0" borderId="53" xfId="0" applyFont="1" applyBorder="1" applyAlignment="1">
      <alignment vertical="center" wrapText="1"/>
    </xf>
    <xf numFmtId="0" fontId="15" fillId="0" borderId="54" xfId="0" applyFont="1" applyBorder="1" applyAlignment="1">
      <alignment vertical="center" wrapText="1"/>
    </xf>
    <xf numFmtId="0" fontId="15" fillId="0" borderId="54" xfId="0" applyFont="1" applyBorder="1" applyAlignment="1">
      <alignment horizontal="center" vertical="top"/>
    </xf>
    <xf numFmtId="0" fontId="15" fillId="0" borderId="54" xfId="0" applyFont="1" applyBorder="1" applyAlignment="1">
      <alignment vertical="top" wrapText="1"/>
    </xf>
    <xf numFmtId="0" fontId="15" fillId="0" borderId="48" xfId="0" applyFont="1" applyBorder="1" applyAlignment="1">
      <alignment vertical="center" wrapText="1"/>
    </xf>
    <xf numFmtId="0" fontId="15" fillId="0" borderId="49" xfId="0" applyFont="1" applyBorder="1" applyAlignment="1">
      <alignment vertical="center" wrapText="1"/>
    </xf>
    <xf numFmtId="0" fontId="15" fillId="0" borderId="49" xfId="0" applyFont="1" applyBorder="1" applyAlignment="1">
      <alignment vertical="top" wrapText="1"/>
    </xf>
    <xf numFmtId="14" fontId="15" fillId="0" borderId="41" xfId="0" applyNumberFormat="1" applyFont="1" applyBorder="1" applyAlignment="1">
      <alignment horizontal="center"/>
    </xf>
    <xf numFmtId="0" fontId="15" fillId="0" borderId="42" xfId="0" applyFont="1" applyBorder="1"/>
    <xf numFmtId="0" fontId="15" fillId="0" borderId="44" xfId="0" applyFont="1" applyBorder="1"/>
    <xf numFmtId="0" fontId="11" fillId="0" borderId="48" xfId="0" applyFont="1" applyBorder="1" applyAlignment="1">
      <alignment horizontal="left" vertical="center" wrapText="1"/>
    </xf>
    <xf numFmtId="0" fontId="11" fillId="0" borderId="49" xfId="0" applyFont="1" applyBorder="1" applyAlignment="1">
      <alignment horizontal="left" vertical="center" wrapText="1"/>
    </xf>
    <xf numFmtId="0" fontId="15" fillId="0" borderId="46" xfId="0" applyFont="1" applyBorder="1" applyAlignment="1">
      <alignment horizontal="center"/>
    </xf>
    <xf numFmtId="14" fontId="15" fillId="0" borderId="46" xfId="0" applyNumberFormat="1" applyFont="1" applyBorder="1" applyAlignment="1">
      <alignment horizontal="center"/>
    </xf>
    <xf numFmtId="14" fontId="15" fillId="0" borderId="47" xfId="0" applyNumberFormat="1" applyFont="1" applyBorder="1" applyAlignment="1">
      <alignment horizontal="center"/>
    </xf>
    <xf numFmtId="0" fontId="15" fillId="0" borderId="48" xfId="0" applyFont="1" applyBorder="1"/>
    <xf numFmtId="0" fontId="15" fillId="0" borderId="49" xfId="0" applyFont="1" applyBorder="1"/>
    <xf numFmtId="0" fontId="15" fillId="0" borderId="49" xfId="0" applyFont="1" applyBorder="1" applyAlignment="1">
      <alignment horizontal="center" vertical="top" wrapText="1"/>
    </xf>
    <xf numFmtId="0" fontId="15" fillId="0" borderId="52" xfId="0" applyFont="1" applyBorder="1" applyAlignment="1">
      <alignment horizontal="center" vertical="top" wrapText="1"/>
    </xf>
    <xf numFmtId="0" fontId="15" fillId="0" borderId="45" xfId="0" applyFont="1" applyBorder="1" applyAlignment="1">
      <alignment vertical="center" wrapText="1"/>
    </xf>
    <xf numFmtId="0" fontId="15" fillId="0" borderId="46" xfId="0" applyFont="1" applyBorder="1" applyAlignment="1">
      <alignment vertical="center"/>
    </xf>
    <xf numFmtId="0" fontId="15" fillId="0" borderId="46" xfId="0" applyFont="1" applyBorder="1" applyAlignment="1">
      <alignment horizontal="center" vertical="center"/>
    </xf>
    <xf numFmtId="0" fontId="15" fillId="0" borderId="47" xfId="0" applyFont="1" applyBorder="1" applyAlignment="1">
      <alignment horizontal="center" vertical="center"/>
    </xf>
    <xf numFmtId="0" fontId="15" fillId="0" borderId="52" xfId="0" applyFont="1" applyBorder="1"/>
    <xf numFmtId="0" fontId="11" fillId="0" borderId="0" xfId="0" applyFont="1" applyAlignment="1">
      <alignment horizontal="right"/>
    </xf>
    <xf numFmtId="0" fontId="3" fillId="0" borderId="0" xfId="0" applyFont="1" applyFill="1" applyBorder="1" applyAlignment="1"/>
    <xf numFmtId="166" fontId="7" fillId="0" borderId="0" xfId="1" applyNumberFormat="1" applyFont="1" applyFill="1" applyBorder="1" applyAlignment="1">
      <alignment horizontal="right"/>
    </xf>
    <xf numFmtId="0" fontId="3" fillId="0" borderId="17" xfId="0" applyFont="1" applyFill="1" applyBorder="1" applyAlignment="1">
      <alignment horizontal="center"/>
    </xf>
    <xf numFmtId="0" fontId="3" fillId="0" borderId="28" xfId="0" applyFont="1" applyFill="1" applyBorder="1" applyAlignment="1">
      <alignment horizontal="center"/>
    </xf>
    <xf numFmtId="166" fontId="7" fillId="0" borderId="3" xfId="1" applyNumberFormat="1" applyFont="1" applyFill="1" applyBorder="1" applyAlignment="1">
      <alignment horizontal="right"/>
    </xf>
    <xf numFmtId="0" fontId="7" fillId="0" borderId="0" xfId="0" applyFont="1" applyFill="1" applyAlignment="1">
      <alignment horizontal="right"/>
    </xf>
    <xf numFmtId="14" fontId="16" fillId="0" borderId="21" xfId="0" applyNumberFormat="1" applyFont="1" applyFill="1" applyBorder="1" applyAlignment="1">
      <alignment vertical="center"/>
    </xf>
    <xf numFmtId="0" fontId="23" fillId="0" borderId="57" xfId="0" applyFont="1" applyBorder="1" applyAlignment="1">
      <alignment horizontal="justify" vertical="top" wrapText="1"/>
    </xf>
    <xf numFmtId="0" fontId="23" fillId="0" borderId="58" xfId="0" applyFont="1" applyBorder="1" applyAlignment="1">
      <alignment horizontal="justify" vertical="top" wrapText="1"/>
    </xf>
    <xf numFmtId="165" fontId="0" fillId="0" borderId="0" xfId="0" applyNumberFormat="1"/>
    <xf numFmtId="14" fontId="2" fillId="7" borderId="21" xfId="0" applyNumberFormat="1" applyFont="1" applyFill="1" applyBorder="1" applyAlignment="1">
      <alignment horizontal="left"/>
    </xf>
    <xf numFmtId="0" fontId="2" fillId="0" borderId="22" xfId="0" applyFont="1" applyBorder="1" applyAlignment="1">
      <alignment wrapText="1"/>
    </xf>
    <xf numFmtId="0" fontId="2" fillId="0" borderId="13" xfId="0" applyFont="1" applyBorder="1"/>
    <xf numFmtId="0" fontId="2" fillId="0" borderId="59" xfId="0" applyFont="1" applyBorder="1"/>
    <xf numFmtId="0" fontId="2" fillId="0" borderId="60" xfId="0" applyFont="1" applyBorder="1"/>
    <xf numFmtId="0" fontId="3" fillId="0" borderId="6" xfId="0" applyFont="1" applyBorder="1"/>
    <xf numFmtId="0" fontId="2" fillId="0" borderId="22" xfId="0" applyFont="1" applyBorder="1"/>
    <xf numFmtId="0" fontId="3" fillId="0" borderId="2" xfId="0" applyFont="1" applyBorder="1" applyAlignment="1">
      <alignment horizontal="center" wrapText="1"/>
    </xf>
    <xf numFmtId="0" fontId="2" fillId="0" borderId="61" xfId="0" applyFont="1" applyFill="1" applyBorder="1" applyAlignment="1">
      <alignment horizontal="left"/>
    </xf>
    <xf numFmtId="14" fontId="2" fillId="0" borderId="38" xfId="0" applyNumberFormat="1" applyFont="1" applyFill="1" applyBorder="1" applyAlignment="1">
      <alignment horizontal="left"/>
    </xf>
    <xf numFmtId="14" fontId="2" fillId="7" borderId="38" xfId="0" applyNumberFormat="1" applyFont="1" applyFill="1" applyBorder="1" applyAlignment="1">
      <alignment horizontal="left"/>
    </xf>
    <xf numFmtId="0" fontId="2" fillId="0" borderId="56" xfId="0" applyFont="1" applyFill="1" applyBorder="1" applyAlignment="1">
      <alignment horizontal="left"/>
    </xf>
    <xf numFmtId="166" fontId="2" fillId="0" borderId="21" xfId="1" applyNumberFormat="1" applyFont="1" applyBorder="1" applyAlignment="1">
      <alignment horizontal="left" vertical="top"/>
    </xf>
    <xf numFmtId="166" fontId="2" fillId="0" borderId="5" xfId="1" applyNumberFormat="1" applyFont="1" applyBorder="1" applyAlignment="1">
      <alignment horizontal="left" vertical="top"/>
    </xf>
    <xf numFmtId="166" fontId="2" fillId="0" borderId="61" xfId="1" applyNumberFormat="1" applyFont="1" applyBorder="1" applyAlignment="1">
      <alignment horizontal="left" vertical="top"/>
    </xf>
    <xf numFmtId="166" fontId="2" fillId="0" borderId="38" xfId="1" applyNumberFormat="1" applyFont="1" applyBorder="1" applyAlignment="1">
      <alignment horizontal="left" vertical="top"/>
    </xf>
    <xf numFmtId="14" fontId="2" fillId="7" borderId="0" xfId="0" applyNumberFormat="1" applyFont="1" applyFill="1" applyBorder="1" applyAlignment="1">
      <alignment horizontal="left"/>
    </xf>
    <xf numFmtId="0" fontId="2" fillId="0" borderId="23" xfId="0" applyFont="1" applyFill="1" applyBorder="1" applyAlignment="1">
      <alignment horizontal="left"/>
    </xf>
    <xf numFmtId="0" fontId="2" fillId="0" borderId="14" xfId="0" applyFont="1" applyFill="1" applyBorder="1" applyAlignment="1">
      <alignment horizontal="left"/>
    </xf>
    <xf numFmtId="0" fontId="2" fillId="0" borderId="37" xfId="0" applyFont="1" applyFill="1" applyBorder="1" applyAlignment="1">
      <alignment horizontal="left"/>
    </xf>
    <xf numFmtId="0" fontId="2" fillId="0" borderId="39" xfId="0" applyFont="1" applyFill="1" applyBorder="1" applyAlignment="1">
      <alignment horizontal="left"/>
    </xf>
    <xf numFmtId="0" fontId="3" fillId="4" borderId="0" xfId="0" applyFont="1" applyFill="1" applyBorder="1" applyAlignment="1">
      <alignment horizontal="center"/>
    </xf>
    <xf numFmtId="0" fontId="3" fillId="0" borderId="0" xfId="0" applyFont="1" applyBorder="1" applyAlignment="1"/>
    <xf numFmtId="49" fontId="2" fillId="7" borderId="15" xfId="0" applyNumberFormat="1" applyFont="1" applyFill="1" applyBorder="1" applyAlignment="1">
      <alignment vertical="top"/>
    </xf>
    <xf numFmtId="169" fontId="2" fillId="7" borderId="15" xfId="0" applyNumberFormat="1" applyFont="1" applyFill="1" applyBorder="1" applyAlignment="1">
      <alignment horizontal="right" vertical="top"/>
    </xf>
    <xf numFmtId="49" fontId="2" fillId="7" borderId="8" xfId="0" applyNumberFormat="1" applyFont="1" applyFill="1" applyBorder="1" applyAlignment="1">
      <alignment vertical="top"/>
    </xf>
    <xf numFmtId="169" fontId="2" fillId="7" borderId="8" xfId="0" applyNumberFormat="1" applyFont="1" applyFill="1" applyBorder="1" applyAlignment="1">
      <alignment horizontal="right" vertical="top"/>
    </xf>
    <xf numFmtId="49" fontId="2" fillId="7" borderId="16" xfId="0" applyNumberFormat="1" applyFont="1" applyFill="1" applyBorder="1" applyAlignment="1">
      <alignment vertical="top"/>
    </xf>
    <xf numFmtId="169" fontId="2" fillId="7" borderId="16" xfId="0" applyNumberFormat="1" applyFont="1" applyFill="1" applyBorder="1" applyAlignment="1">
      <alignment horizontal="right" vertical="top"/>
    </xf>
    <xf numFmtId="0" fontId="0" fillId="0" borderId="14" xfId="0" applyBorder="1" applyAlignment="1">
      <alignment wrapText="1"/>
    </xf>
    <xf numFmtId="0" fontId="7" fillId="0" borderId="17" xfId="0" applyFont="1" applyBorder="1" applyAlignment="1">
      <alignment horizontal="center" vertical="center" wrapText="1"/>
    </xf>
    <xf numFmtId="0" fontId="7" fillId="8" borderId="62" xfId="0" applyFont="1" applyFill="1" applyBorder="1" applyAlignment="1">
      <alignment horizontal="center"/>
    </xf>
    <xf numFmtId="0" fontId="7" fillId="0" borderId="59" xfId="0" applyFont="1" applyBorder="1" applyAlignment="1">
      <alignment horizontal="center"/>
    </xf>
    <xf numFmtId="0" fontId="7" fillId="0" borderId="64" xfId="0" applyFont="1" applyBorder="1" applyAlignment="1">
      <alignment horizontal="center"/>
    </xf>
    <xf numFmtId="0" fontId="7" fillId="0" borderId="60" xfId="0" applyFont="1" applyBorder="1" applyAlignment="1">
      <alignment horizontal="center"/>
    </xf>
    <xf numFmtId="0" fontId="7" fillId="7" borderId="62" xfId="0" applyFont="1" applyFill="1" applyBorder="1" applyAlignment="1">
      <alignment horizontal="center"/>
    </xf>
    <xf numFmtId="0" fontId="7" fillId="0" borderId="17" xfId="0" applyFont="1" applyBorder="1" applyAlignment="1">
      <alignment horizontal="center"/>
    </xf>
    <xf numFmtId="0" fontId="7" fillId="0" borderId="20" xfId="0" applyFont="1" applyBorder="1" applyAlignment="1">
      <alignment horizontal="center"/>
    </xf>
    <xf numFmtId="0" fontId="3" fillId="0" borderId="66" xfId="0" applyFont="1" applyBorder="1" applyAlignment="1">
      <alignment wrapText="1"/>
    </xf>
    <xf numFmtId="0" fontId="3" fillId="0" borderId="67" xfId="0" applyFont="1" applyBorder="1" applyAlignment="1">
      <alignment wrapText="1"/>
    </xf>
    <xf numFmtId="0" fontId="3" fillId="0" borderId="68" xfId="0" applyFont="1" applyBorder="1" applyAlignment="1">
      <alignment horizontal="center" wrapText="1"/>
    </xf>
    <xf numFmtId="0" fontId="2" fillId="0" borderId="41" xfId="0" applyFont="1" applyBorder="1" applyAlignment="1">
      <alignment horizontal="center"/>
    </xf>
    <xf numFmtId="14" fontId="2" fillId="0" borderId="41" xfId="0" applyNumberFormat="1" applyFont="1" applyBorder="1" applyAlignment="1">
      <alignment horizontal="center"/>
    </xf>
    <xf numFmtId="0" fontId="2" fillId="0" borderId="43" xfId="0" applyFont="1" applyBorder="1" applyAlignment="1">
      <alignment horizontal="right"/>
    </xf>
    <xf numFmtId="0" fontId="2" fillId="0" borderId="43" xfId="0" applyFont="1" applyBorder="1" applyAlignment="1">
      <alignment wrapText="1"/>
    </xf>
    <xf numFmtId="0" fontId="2" fillId="0" borderId="43" xfId="0" applyFont="1" applyBorder="1"/>
    <xf numFmtId="0" fontId="2" fillId="0" borderId="44" xfId="0" applyFont="1" applyBorder="1" applyAlignment="1">
      <alignment horizontal="center"/>
    </xf>
    <xf numFmtId="0" fontId="3" fillId="4" borderId="0" xfId="0" applyFont="1" applyFill="1" applyBorder="1" applyAlignment="1">
      <alignment horizontal="left"/>
    </xf>
    <xf numFmtId="0" fontId="3" fillId="0" borderId="2" xfId="0" applyFont="1" applyBorder="1" applyAlignment="1">
      <alignment horizontal="center"/>
    </xf>
    <xf numFmtId="0" fontId="3" fillId="0" borderId="2" xfId="0" applyFont="1" applyBorder="1"/>
    <xf numFmtId="0" fontId="7" fillId="0" borderId="2" xfId="0" applyFont="1" applyBorder="1" applyAlignment="1">
      <alignment horizontal="center" vertical="center" wrapText="1"/>
    </xf>
    <xf numFmtId="0" fontId="7" fillId="0" borderId="0" xfId="0" applyFont="1"/>
    <xf numFmtId="0" fontId="13" fillId="0" borderId="0" xfId="0" applyFont="1"/>
    <xf numFmtId="0" fontId="14" fillId="0" borderId="0" xfId="0" applyFont="1" applyBorder="1" applyAlignment="1">
      <alignment horizontal="center" vertical="center"/>
    </xf>
    <xf numFmtId="0" fontId="14" fillId="0" borderId="0" xfId="0" applyFont="1" applyBorder="1" applyAlignment="1">
      <alignment vertical="center"/>
    </xf>
    <xf numFmtId="0" fontId="14" fillId="0" borderId="0" xfId="0" applyFont="1" applyFill="1" applyBorder="1" applyAlignment="1">
      <alignment vertical="center" wrapText="1"/>
    </xf>
    <xf numFmtId="0" fontId="0" fillId="0" borderId="22" xfId="0" applyBorder="1" applyAlignment="1">
      <alignment wrapText="1"/>
    </xf>
    <xf numFmtId="0" fontId="0" fillId="0" borderId="22" xfId="0" applyBorder="1" applyAlignment="1">
      <alignment horizontal="center" vertical="center" wrapText="1"/>
    </xf>
    <xf numFmtId="0" fontId="0" fillId="0" borderId="22" xfId="0" applyBorder="1" applyAlignment="1">
      <alignment vertical="top" wrapText="1"/>
    </xf>
    <xf numFmtId="0" fontId="27" fillId="0" borderId="22" xfId="0" applyFont="1" applyBorder="1" applyAlignment="1">
      <alignment vertical="top" wrapText="1"/>
    </xf>
    <xf numFmtId="0" fontId="27" fillId="0" borderId="22" xfId="0" applyFont="1" applyBorder="1" applyAlignment="1">
      <alignment vertical="top"/>
    </xf>
    <xf numFmtId="0" fontId="11" fillId="7" borderId="0" xfId="0" applyFont="1" applyFill="1"/>
    <xf numFmtId="0" fontId="15" fillId="7" borderId="0" xfId="0" applyFont="1" applyFill="1"/>
    <xf numFmtId="0" fontId="15" fillId="0" borderId="0" xfId="0" applyFont="1" applyFill="1"/>
    <xf numFmtId="0" fontId="0" fillId="0" borderId="0" xfId="0" applyBorder="1" applyAlignment="1">
      <alignment horizontal="center" vertical="center" wrapText="1"/>
    </xf>
    <xf numFmtId="0" fontId="0" fillId="0" borderId="0" xfId="0" applyBorder="1" applyAlignment="1">
      <alignment horizontal="center" vertical="center"/>
    </xf>
    <xf numFmtId="0" fontId="25" fillId="0" borderId="0" xfId="0" applyFont="1" applyFill="1" applyBorder="1" applyAlignment="1">
      <alignment vertical="center" wrapText="1"/>
    </xf>
    <xf numFmtId="0" fontId="25" fillId="0" borderId="35" xfId="0" applyFont="1" applyFill="1" applyBorder="1" applyAlignment="1">
      <alignment horizontal="center" vertical="center" wrapText="1"/>
    </xf>
    <xf numFmtId="0" fontId="0" fillId="0" borderId="35" xfId="0" applyBorder="1" applyAlignment="1">
      <alignment vertical="center" wrapText="1"/>
    </xf>
    <xf numFmtId="0" fontId="0" fillId="0" borderId="0" xfId="0" applyBorder="1" applyAlignment="1">
      <alignment vertical="center" wrapText="1"/>
    </xf>
    <xf numFmtId="0" fontId="24" fillId="3" borderId="22" xfId="0" applyFont="1" applyFill="1" applyBorder="1" applyAlignment="1">
      <alignment horizontal="center" vertical="center"/>
    </xf>
    <xf numFmtId="0" fontId="24" fillId="3" borderId="22" xfId="0" applyFont="1" applyFill="1" applyBorder="1" applyAlignment="1">
      <alignment horizontal="center" vertical="center" wrapText="1"/>
    </xf>
    <xf numFmtId="0" fontId="0" fillId="0" borderId="0" xfId="0" applyAlignment="1">
      <alignment horizontal="center"/>
    </xf>
    <xf numFmtId="0" fontId="0" fillId="0" borderId="22" xfId="0" applyBorder="1" applyAlignment="1">
      <alignment horizontal="center" vertical="center"/>
    </xf>
    <xf numFmtId="0" fontId="0" fillId="0" borderId="71" xfId="0" applyBorder="1" applyAlignment="1">
      <alignment horizontal="center" vertical="center" wrapText="1"/>
    </xf>
    <xf numFmtId="0" fontId="3" fillId="4" borderId="0" xfId="0" applyFont="1" applyFill="1" applyAlignment="1">
      <alignment horizontal="center"/>
    </xf>
    <xf numFmtId="0" fontId="2" fillId="0" borderId="0" xfId="0" applyFont="1" applyFill="1" applyBorder="1" applyAlignment="1">
      <alignment horizontal="left"/>
    </xf>
    <xf numFmtId="0" fontId="0" fillId="0" borderId="22" xfId="0" applyBorder="1" applyAlignment="1">
      <alignment horizontal="center"/>
    </xf>
    <xf numFmtId="0" fontId="0" fillId="0" borderId="22" xfId="0" applyBorder="1" applyAlignment="1">
      <alignment horizontal="center" wrapText="1"/>
    </xf>
    <xf numFmtId="0" fontId="0" fillId="0" borderId="22" xfId="0" applyBorder="1" applyAlignment="1">
      <alignment horizontal="left" vertical="center" wrapText="1"/>
    </xf>
    <xf numFmtId="171" fontId="30" fillId="0" borderId="22" xfId="0" applyNumberFormat="1" applyFont="1" applyBorder="1" applyAlignment="1">
      <alignment horizontal="left" vertical="top"/>
    </xf>
    <xf numFmtId="0" fontId="19" fillId="0" borderId="22" xfId="0" applyFont="1" applyBorder="1" applyAlignment="1">
      <alignment horizontal="right" vertical="top"/>
    </xf>
    <xf numFmtId="0" fontId="0" fillId="0" borderId="22" xfId="0" applyFont="1" applyBorder="1" applyAlignment="1">
      <alignment vertical="center"/>
    </xf>
    <xf numFmtId="0" fontId="0" fillId="0" borderId="0" xfId="0" applyAlignment="1">
      <alignment vertical="top"/>
    </xf>
    <xf numFmtId="0" fontId="17" fillId="0" borderId="22" xfId="0" applyFont="1" applyFill="1" applyBorder="1" applyAlignment="1">
      <alignment vertical="top" wrapText="1"/>
    </xf>
    <xf numFmtId="0" fontId="0" fillId="0" borderId="0" xfId="0" applyFont="1" applyAlignment="1">
      <alignment vertical="top"/>
    </xf>
    <xf numFmtId="0" fontId="0" fillId="0" borderId="0" xfId="0" applyFont="1" applyAlignment="1">
      <alignment horizontal="left" vertical="top"/>
    </xf>
    <xf numFmtId="0" fontId="0" fillId="0" borderId="0" xfId="0" applyFont="1" applyAlignment="1">
      <alignment vertical="center"/>
    </xf>
    <xf numFmtId="14" fontId="0" fillId="0" borderId="0" xfId="0" applyNumberFormat="1"/>
    <xf numFmtId="0" fontId="0" fillId="0" borderId="0" xfId="0"/>
    <xf numFmtId="0" fontId="19" fillId="0" borderId="22" xfId="0" applyFont="1" applyBorder="1" applyAlignment="1">
      <alignment vertical="center"/>
    </xf>
    <xf numFmtId="0" fontId="17" fillId="0" borderId="22" xfId="0" applyFont="1" applyBorder="1" applyAlignment="1">
      <alignment vertical="center"/>
    </xf>
    <xf numFmtId="0" fontId="17" fillId="0" borderId="22" xfId="0" applyFont="1" applyBorder="1" applyAlignment="1">
      <alignment horizontal="left" vertical="top"/>
    </xf>
    <xf numFmtId="14" fontId="19" fillId="0" borderId="22" xfId="0" applyNumberFormat="1" applyFont="1" applyBorder="1" applyAlignment="1">
      <alignment vertical="center"/>
    </xf>
    <xf numFmtId="0" fontId="19" fillId="0" borderId="22" xfId="0" applyFont="1" applyBorder="1" applyAlignment="1">
      <alignment horizontal="center" vertical="center"/>
    </xf>
    <xf numFmtId="0" fontId="19" fillId="0" borderId="22" xfId="0" applyFont="1" applyBorder="1" applyAlignment="1">
      <alignment vertical="top"/>
    </xf>
    <xf numFmtId="0" fontId="31" fillId="0" borderId="22" xfId="0" applyFont="1" applyBorder="1" applyAlignment="1">
      <alignment vertical="top"/>
    </xf>
    <xf numFmtId="0" fontId="19" fillId="0" borderId="71" xfId="0" applyFont="1" applyBorder="1" applyAlignment="1">
      <alignment vertical="center"/>
    </xf>
    <xf numFmtId="0" fontId="0" fillId="4" borderId="22" xfId="0" applyFont="1" applyFill="1" applyBorder="1" applyAlignment="1">
      <alignment horizontal="center" vertical="center" wrapText="1"/>
    </xf>
    <xf numFmtId="0" fontId="7" fillId="4" borderId="22" xfId="0" applyFont="1" applyFill="1" applyBorder="1" applyAlignment="1">
      <alignment horizontal="center" vertical="center" wrapText="1"/>
    </xf>
    <xf numFmtId="14" fontId="7" fillId="4" borderId="22" xfId="0" applyNumberFormat="1" applyFont="1" applyFill="1" applyBorder="1" applyAlignment="1">
      <alignment horizontal="center" vertical="center" wrapText="1"/>
    </xf>
    <xf numFmtId="0" fontId="0" fillId="0" borderId="22" xfId="0" applyFont="1" applyFill="1" applyBorder="1" applyAlignment="1">
      <alignment horizontal="center" vertical="center" wrapText="1"/>
    </xf>
    <xf numFmtId="0" fontId="0" fillId="2" borderId="22" xfId="0" applyFont="1" applyFill="1" applyBorder="1" applyAlignment="1">
      <alignment horizontal="center" vertical="center" wrapText="1"/>
    </xf>
    <xf numFmtId="171" fontId="0" fillId="0" borderId="22" xfId="0" applyNumberFormat="1" applyFill="1" applyBorder="1" applyAlignment="1">
      <alignment horizontal="center" vertical="center" wrapText="1"/>
    </xf>
    <xf numFmtId="14" fontId="0" fillId="0" borderId="22" xfId="0" applyNumberFormat="1" applyFill="1" applyBorder="1" applyAlignment="1">
      <alignment horizontal="center" vertical="center" wrapText="1"/>
    </xf>
    <xf numFmtId="171" fontId="0" fillId="0" borderId="22" xfId="0" applyNumberFormat="1" applyFont="1" applyFill="1" applyBorder="1" applyAlignment="1">
      <alignment horizontal="center" vertical="center" wrapText="1"/>
    </xf>
    <xf numFmtId="0" fontId="0" fillId="0" borderId="22" xfId="0" applyFont="1" applyBorder="1" applyAlignment="1">
      <alignment horizontal="center" vertical="center" wrapText="1"/>
    </xf>
    <xf numFmtId="0" fontId="0" fillId="7" borderId="22" xfId="0" applyFill="1" applyBorder="1" applyAlignment="1">
      <alignment horizontal="center" vertical="center" wrapText="1"/>
    </xf>
    <xf numFmtId="171" fontId="0" fillId="0" borderId="22" xfId="0" applyNumberFormat="1" applyFont="1" applyFill="1" applyBorder="1" applyAlignment="1">
      <alignment horizontal="center" vertical="center"/>
    </xf>
    <xf numFmtId="14" fontId="0" fillId="0" borderId="22" xfId="0" applyNumberFormat="1" applyFill="1" applyBorder="1" applyAlignment="1">
      <alignment horizontal="center" vertical="center"/>
    </xf>
    <xf numFmtId="171" fontId="0" fillId="0" borderId="22" xfId="0" applyNumberFormat="1" applyFill="1" applyBorder="1" applyAlignment="1">
      <alignment horizontal="center" vertical="center"/>
    </xf>
    <xf numFmtId="14" fontId="0" fillId="0" borderId="22" xfId="0" applyNumberFormat="1" applyFont="1" applyFill="1" applyBorder="1" applyAlignment="1">
      <alignment horizontal="center" vertical="center" wrapText="1"/>
    </xf>
    <xf numFmtId="0" fontId="0" fillId="0" borderId="22" xfId="0" applyFont="1" applyBorder="1" applyAlignment="1">
      <alignment horizontal="center" vertical="center"/>
    </xf>
    <xf numFmtId="171" fontId="0" fillId="0" borderId="22" xfId="0" applyNumberFormat="1" applyBorder="1" applyAlignment="1">
      <alignment horizontal="center" vertical="center"/>
    </xf>
    <xf numFmtId="14" fontId="0" fillId="0" borderId="22" xfId="0" applyNumberFormat="1" applyBorder="1" applyAlignment="1">
      <alignment horizontal="center" vertical="center"/>
    </xf>
    <xf numFmtId="14" fontId="0" fillId="0" borderId="22" xfId="0" applyNumberFormat="1" applyFont="1" applyBorder="1" applyAlignment="1">
      <alignment horizontal="center" vertical="center"/>
    </xf>
    <xf numFmtId="14" fontId="0" fillId="0" borderId="22" xfId="0" applyNumberFormat="1" applyFont="1" applyBorder="1" applyAlignment="1">
      <alignment horizontal="center" vertical="center" wrapText="1"/>
    </xf>
    <xf numFmtId="1" fontId="0" fillId="0" borderId="22" xfId="0" applyNumberFormat="1" applyFont="1" applyFill="1" applyBorder="1" applyAlignment="1">
      <alignment horizontal="center" vertical="center" wrapText="1"/>
    </xf>
    <xf numFmtId="0" fontId="0" fillId="2" borderId="22" xfId="0" applyFill="1" applyBorder="1" applyAlignment="1">
      <alignment horizontal="center" vertical="center" wrapText="1"/>
    </xf>
    <xf numFmtId="4" fontId="0" fillId="0" borderId="22" xfId="0" applyNumberFormat="1" applyFont="1" applyBorder="1" applyAlignment="1">
      <alignment horizontal="center" vertical="center"/>
    </xf>
    <xf numFmtId="171" fontId="0" fillId="0" borderId="22" xfId="0" applyNumberFormat="1" applyFont="1" applyBorder="1" applyAlignment="1">
      <alignment horizontal="center" vertical="center"/>
    </xf>
    <xf numFmtId="2" fontId="0" fillId="0" borderId="22" xfId="0" applyNumberFormat="1" applyFont="1" applyFill="1" applyBorder="1" applyAlignment="1">
      <alignment horizontal="center" vertical="center" wrapText="1"/>
    </xf>
    <xf numFmtId="4" fontId="0" fillId="0" borderId="22" xfId="0" applyNumberFormat="1" applyFont="1" applyFill="1" applyBorder="1" applyAlignment="1">
      <alignment horizontal="center" vertical="center" wrapText="1"/>
    </xf>
    <xf numFmtId="3" fontId="0" fillId="0" borderId="22" xfId="0" applyNumberFormat="1" applyFill="1" applyBorder="1" applyAlignment="1">
      <alignment horizontal="center" vertical="center" wrapText="1"/>
    </xf>
    <xf numFmtId="0" fontId="0" fillId="0" borderId="22" xfId="0" applyFill="1" applyBorder="1" applyAlignment="1">
      <alignment horizontal="center" vertical="center" wrapText="1"/>
    </xf>
    <xf numFmtId="3" fontId="0" fillId="0" borderId="22" xfId="0" applyNumberFormat="1" applyBorder="1" applyAlignment="1">
      <alignment horizontal="center" vertical="center" wrapText="1"/>
    </xf>
    <xf numFmtId="0" fontId="0" fillId="0" borderId="22" xfId="0" applyFont="1" applyFill="1" applyBorder="1" applyAlignment="1">
      <alignment horizontal="center" vertical="center"/>
    </xf>
    <xf numFmtId="171" fontId="0" fillId="2" borderId="22" xfId="0" applyNumberFormat="1" applyFont="1" applyFill="1" applyBorder="1" applyAlignment="1">
      <alignment horizontal="center" vertical="center"/>
    </xf>
    <xf numFmtId="14" fontId="0" fillId="2" borderId="22" xfId="0" applyNumberFormat="1" applyFill="1" applyBorder="1" applyAlignment="1">
      <alignment horizontal="center" vertical="center"/>
    </xf>
    <xf numFmtId="171" fontId="0" fillId="2" borderId="22" xfId="0" applyNumberFormat="1" applyFont="1" applyFill="1" applyBorder="1" applyAlignment="1">
      <alignment horizontal="center" vertical="center" wrapText="1"/>
    </xf>
    <xf numFmtId="3" fontId="0" fillId="0" borderId="22" xfId="0" applyNumberFormat="1" applyFont="1" applyBorder="1" applyAlignment="1">
      <alignment horizontal="center" vertical="center"/>
    </xf>
    <xf numFmtId="3" fontId="0" fillId="0" borderId="22" xfId="0" applyNumberFormat="1" applyFont="1" applyFill="1" applyBorder="1" applyAlignment="1">
      <alignment horizontal="center" vertical="center" wrapText="1"/>
    </xf>
    <xf numFmtId="2" fontId="0" fillId="0" borderId="22" xfId="0" applyNumberFormat="1" applyFill="1" applyBorder="1" applyAlignment="1">
      <alignment horizontal="center" vertical="center" wrapText="1"/>
    </xf>
    <xf numFmtId="171" fontId="0" fillId="0" borderId="0" xfId="0" applyNumberFormat="1" applyFont="1" applyFill="1" applyAlignment="1">
      <alignment horizontal="center" vertical="center"/>
    </xf>
    <xf numFmtId="15" fontId="0" fillId="0" borderId="22" xfId="0" applyNumberFormat="1" applyFont="1" applyBorder="1" applyAlignment="1">
      <alignment horizontal="center" vertical="center"/>
    </xf>
    <xf numFmtId="15" fontId="0" fillId="0" borderId="22" xfId="0" applyNumberFormat="1" applyFont="1" applyBorder="1" applyAlignment="1">
      <alignment horizontal="center" vertical="center" wrapText="1"/>
    </xf>
    <xf numFmtId="4" fontId="0" fillId="0" borderId="22" xfId="0" applyNumberFormat="1" applyBorder="1" applyAlignment="1">
      <alignment horizontal="center" vertical="center" wrapText="1"/>
    </xf>
    <xf numFmtId="1" fontId="0" fillId="0" borderId="22" xfId="0" applyNumberFormat="1" applyFill="1" applyBorder="1" applyAlignment="1">
      <alignment horizontal="center" vertical="center" wrapText="1"/>
    </xf>
    <xf numFmtId="0" fontId="17" fillId="0" borderId="22" xfId="0" applyFont="1" applyFill="1" applyBorder="1" applyAlignment="1">
      <alignment horizontal="center" vertical="center" wrapText="1"/>
    </xf>
    <xf numFmtId="14" fontId="0" fillId="0" borderId="22" xfId="0" applyNumberFormat="1" applyBorder="1" applyAlignment="1">
      <alignment horizontal="center" vertical="center" wrapText="1"/>
    </xf>
    <xf numFmtId="171" fontId="0" fillId="0" borderId="22" xfId="0" applyNumberFormat="1" applyFont="1" applyBorder="1" applyAlignment="1">
      <alignment horizontal="center" vertical="center" wrapText="1"/>
    </xf>
    <xf numFmtId="171" fontId="0" fillId="0" borderId="22" xfId="0" applyNumberFormat="1" applyBorder="1" applyAlignment="1">
      <alignment horizontal="center" vertical="center" wrapText="1"/>
    </xf>
    <xf numFmtId="2" fontId="0" fillId="2" borderId="22" xfId="0" applyNumberFormat="1" applyFont="1" applyFill="1" applyBorder="1" applyAlignment="1">
      <alignment horizontal="center" vertical="center" wrapText="1"/>
    </xf>
    <xf numFmtId="14" fontId="0" fillId="0" borderId="22" xfId="0" applyNumberFormat="1" applyFont="1" applyFill="1" applyBorder="1" applyAlignment="1">
      <alignment horizontal="center" vertical="center"/>
    </xf>
    <xf numFmtId="4" fontId="0" fillId="2" borderId="22" xfId="0" applyNumberFormat="1" applyFont="1" applyFill="1" applyBorder="1" applyAlignment="1">
      <alignment horizontal="center" vertical="center" wrapText="1"/>
    </xf>
    <xf numFmtId="171" fontId="0" fillId="0" borderId="0" xfId="0" applyNumberFormat="1" applyAlignment="1">
      <alignment horizontal="center" vertical="center"/>
    </xf>
    <xf numFmtId="0" fontId="0" fillId="0" borderId="0" xfId="0" applyFill="1" applyBorder="1" applyAlignment="1">
      <alignment horizontal="center" vertical="center" wrapText="1"/>
    </xf>
    <xf numFmtId="15" fontId="0" fillId="0" borderId="22" xfId="0" applyNumberFormat="1" applyBorder="1" applyAlignment="1">
      <alignment horizontal="center" vertical="center"/>
    </xf>
    <xf numFmtId="15" fontId="0" fillId="0" borderId="22" xfId="0" applyNumberFormat="1" applyBorder="1" applyAlignment="1">
      <alignment horizontal="center" vertical="center" wrapText="1"/>
    </xf>
    <xf numFmtId="14" fontId="27" fillId="2" borderId="22" xfId="0" applyNumberFormat="1" applyFont="1" applyFill="1" applyBorder="1" applyAlignment="1">
      <alignment horizontal="center" vertical="center" wrapText="1"/>
    </xf>
    <xf numFmtId="0" fontId="27" fillId="2" borderId="22" xfId="0" applyFont="1" applyFill="1" applyBorder="1" applyAlignment="1">
      <alignment horizontal="center" vertical="center" wrapText="1"/>
    </xf>
    <xf numFmtId="0" fontId="0" fillId="0" borderId="22" xfId="0" applyFill="1" applyBorder="1" applyAlignment="1">
      <alignment horizontal="center" vertical="center"/>
    </xf>
    <xf numFmtId="1" fontId="0" fillId="2" borderId="22" xfId="0" applyNumberFormat="1" applyFill="1" applyBorder="1" applyAlignment="1">
      <alignment horizontal="center" vertical="center" wrapText="1"/>
    </xf>
    <xf numFmtId="0" fontId="0" fillId="0" borderId="71" xfId="0" applyFill="1" applyBorder="1" applyAlignment="1">
      <alignment horizontal="center" vertical="center" wrapText="1"/>
    </xf>
    <xf numFmtId="0" fontId="0" fillId="0" borderId="71" xfId="0" applyFont="1" applyBorder="1" applyAlignment="1">
      <alignment horizontal="center" vertical="center"/>
    </xf>
    <xf numFmtId="171" fontId="0" fillId="0" borderId="71" xfId="0" applyNumberFormat="1" applyBorder="1" applyAlignment="1">
      <alignment horizontal="center" vertical="center"/>
    </xf>
    <xf numFmtId="14" fontId="0" fillId="0" borderId="71" xfId="0" applyNumberFormat="1" applyBorder="1" applyAlignment="1">
      <alignment horizontal="center" vertical="center"/>
    </xf>
    <xf numFmtId="2" fontId="0" fillId="0" borderId="71" xfId="0" applyNumberFormat="1" applyFont="1" applyFill="1" applyBorder="1" applyAlignment="1">
      <alignment horizontal="center" vertical="center" wrapText="1"/>
    </xf>
    <xf numFmtId="0" fontId="0" fillId="0" borderId="71" xfId="0" applyFont="1" applyBorder="1" applyAlignment="1">
      <alignment horizontal="center" vertical="center" wrapText="1"/>
    </xf>
    <xf numFmtId="0" fontId="0" fillId="0" borderId="71" xfId="0" applyFont="1" applyFill="1" applyBorder="1" applyAlignment="1">
      <alignment horizontal="center" vertical="center"/>
    </xf>
    <xf numFmtId="0" fontId="0" fillId="0" borderId="46" xfId="0" applyFont="1" applyFill="1" applyBorder="1" applyAlignment="1">
      <alignment horizontal="center" vertical="center" wrapText="1"/>
    </xf>
    <xf numFmtId="0" fontId="0" fillId="0" borderId="46" xfId="0" applyFont="1" applyBorder="1" applyAlignment="1">
      <alignment horizontal="center" vertical="center"/>
    </xf>
    <xf numFmtId="0" fontId="0" fillId="0" borderId="22" xfId="0" applyFont="1" applyFill="1" applyBorder="1" applyAlignment="1">
      <alignment horizontal="center" vertical="top" wrapText="1"/>
    </xf>
    <xf numFmtId="0" fontId="0" fillId="0" borderId="0" xfId="0" applyFont="1" applyBorder="1" applyAlignment="1">
      <alignment horizontal="center" vertical="center"/>
    </xf>
    <xf numFmtId="0" fontId="0" fillId="0" borderId="0" xfId="0" applyFont="1" applyAlignment="1">
      <alignment horizontal="center" vertical="center"/>
    </xf>
    <xf numFmtId="171" fontId="0" fillId="0" borderId="71" xfId="0" applyNumberFormat="1" applyFont="1" applyBorder="1" applyAlignment="1">
      <alignment horizontal="center" vertical="center"/>
    </xf>
    <xf numFmtId="0" fontId="0" fillId="2" borderId="71" xfId="0" applyFont="1" applyFill="1" applyBorder="1" applyAlignment="1">
      <alignment horizontal="center" vertical="center" wrapText="1"/>
    </xf>
    <xf numFmtId="4" fontId="0" fillId="0" borderId="22" xfId="0" applyNumberFormat="1" applyBorder="1" applyAlignment="1">
      <alignment horizontal="center" vertical="center"/>
    </xf>
    <xf numFmtId="0" fontId="0" fillId="9" borderId="22" xfId="0" applyFill="1" applyBorder="1" applyAlignment="1">
      <alignment horizontal="center" vertical="center" wrapText="1"/>
    </xf>
    <xf numFmtId="2" fontId="17" fillId="0" borderId="22" xfId="0" applyNumberFormat="1" applyFont="1" applyFill="1" applyBorder="1" applyAlignment="1">
      <alignment horizontal="center" vertical="center" wrapText="1"/>
    </xf>
    <xf numFmtId="0" fontId="32" fillId="0" borderId="22" xfId="0" applyFont="1" applyFill="1" applyBorder="1" applyAlignment="1">
      <alignment horizontal="center" vertical="center" wrapText="1"/>
    </xf>
    <xf numFmtId="0" fontId="0" fillId="0" borderId="71" xfId="0" applyBorder="1" applyAlignment="1">
      <alignment horizontal="center" vertical="center"/>
    </xf>
    <xf numFmtId="3" fontId="0" fillId="0" borderId="22" xfId="0" applyNumberFormat="1" applyBorder="1" applyAlignment="1">
      <alignment horizontal="center" vertical="center"/>
    </xf>
    <xf numFmtId="171" fontId="0" fillId="0" borderId="0" xfId="0" applyNumberFormat="1"/>
    <xf numFmtId="0" fontId="7" fillId="0" borderId="30" xfId="0" applyFont="1" applyBorder="1" applyAlignment="1">
      <alignment horizontal="center" vertical="center" wrapText="1"/>
    </xf>
    <xf numFmtId="0" fontId="7" fillId="0" borderId="62" xfId="0" applyFont="1" applyFill="1" applyBorder="1" applyAlignment="1">
      <alignment horizontal="center"/>
    </xf>
    <xf numFmtId="0" fontId="7" fillId="0" borderId="63" xfId="0" applyFont="1" applyBorder="1" applyAlignment="1">
      <alignment horizontal="center"/>
    </xf>
    <xf numFmtId="0" fontId="7" fillId="0" borderId="59" xfId="0" applyFont="1" applyFill="1" applyBorder="1" applyAlignment="1">
      <alignment horizontal="center"/>
    </xf>
    <xf numFmtId="0" fontId="7" fillId="0" borderId="8" xfId="0" applyFont="1" applyBorder="1" applyAlignment="1">
      <alignment horizontal="center"/>
    </xf>
    <xf numFmtId="0" fontId="7" fillId="0" borderId="64" xfId="0" applyFont="1" applyFill="1" applyBorder="1" applyAlignment="1">
      <alignment horizontal="center"/>
    </xf>
    <xf numFmtId="0" fontId="7" fillId="0" borderId="16" xfId="0" applyFont="1" applyBorder="1" applyAlignment="1">
      <alignment horizontal="center"/>
    </xf>
    <xf numFmtId="0" fontId="7" fillId="0" borderId="60" xfId="0" applyFont="1" applyFill="1" applyBorder="1" applyAlignment="1">
      <alignment horizontal="center"/>
    </xf>
    <xf numFmtId="0" fontId="7" fillId="0" borderId="11" xfId="0" applyFont="1" applyBorder="1" applyAlignment="1">
      <alignment horizontal="center"/>
    </xf>
    <xf numFmtId="0" fontId="7" fillId="0" borderId="30" xfId="0" applyFont="1" applyBorder="1" applyAlignment="1">
      <alignment horizontal="center"/>
    </xf>
    <xf numFmtId="0" fontId="7" fillId="0" borderId="24" xfId="0" applyFont="1" applyBorder="1" applyAlignment="1">
      <alignment horizontal="center"/>
    </xf>
    <xf numFmtId="0" fontId="7" fillId="0" borderId="24" xfId="0" applyFont="1" applyFill="1" applyBorder="1" applyAlignment="1">
      <alignment horizontal="center" vertical="center" wrapText="1"/>
    </xf>
    <xf numFmtId="0" fontId="0" fillId="0" borderId="71" xfId="0" applyBorder="1" applyAlignment="1">
      <alignment wrapText="1"/>
    </xf>
    <xf numFmtId="0" fontId="0" fillId="7" borderId="71" xfId="0" applyFill="1" applyBorder="1" applyAlignment="1">
      <alignment horizontal="justify" vertical="top" wrapText="1"/>
    </xf>
    <xf numFmtId="0" fontId="0" fillId="0" borderId="71" xfId="0" applyBorder="1" applyAlignment="1">
      <alignment horizontal="center" vertical="top" wrapText="1"/>
    </xf>
    <xf numFmtId="0" fontId="0" fillId="0" borderId="22" xfId="0" applyFill="1" applyBorder="1" applyAlignment="1">
      <alignment horizontal="center" vertical="top"/>
    </xf>
    <xf numFmtId="0" fontId="0" fillId="0" borderId="71" xfId="0" applyBorder="1" applyAlignment="1">
      <alignment horizontal="center" vertical="top"/>
    </xf>
    <xf numFmtId="0" fontId="26" fillId="0" borderId="22" xfId="0" applyFont="1" applyBorder="1" applyAlignment="1">
      <alignment horizontal="center" vertical="top"/>
    </xf>
    <xf numFmtId="0" fontId="0" fillId="0" borderId="22" xfId="0" applyBorder="1" applyAlignment="1">
      <alignment horizontal="center" vertical="top"/>
    </xf>
    <xf numFmtId="0" fontId="0" fillId="0" borderId="22" xfId="0" applyBorder="1" applyAlignment="1">
      <alignment vertical="top"/>
    </xf>
    <xf numFmtId="0" fontId="33" fillId="10" borderId="22" xfId="4" applyFont="1" applyFill="1" applyBorder="1" applyAlignment="1">
      <alignment horizontal="center" vertical="center" wrapText="1"/>
    </xf>
    <xf numFmtId="2" fontId="33" fillId="10" borderId="22" xfId="4" applyNumberFormat="1" applyFont="1" applyFill="1" applyBorder="1" applyAlignment="1">
      <alignment horizontal="center" vertical="center" wrapText="1"/>
    </xf>
    <xf numFmtId="43" fontId="27" fillId="7" borderId="22" xfId="1" applyNumberFormat="1" applyFont="1" applyFill="1" applyBorder="1" applyAlignment="1">
      <alignment horizontal="center" vertical="center" wrapText="1"/>
    </xf>
    <xf numFmtId="0" fontId="6" fillId="11" borderId="22" xfId="4" applyFont="1" applyFill="1" applyBorder="1" applyAlignment="1">
      <alignment horizontal="left" vertical="top" wrapText="1"/>
    </xf>
    <xf numFmtId="0" fontId="6" fillId="11" borderId="22" xfId="4" applyFont="1" applyFill="1" applyBorder="1" applyAlignment="1">
      <alignment horizontal="center" vertical="top" wrapText="1"/>
    </xf>
    <xf numFmtId="0" fontId="0" fillId="0" borderId="0" xfId="0" applyAlignment="1">
      <alignment horizontal="left" vertical="top"/>
    </xf>
    <xf numFmtId="0" fontId="33" fillId="10" borderId="22" xfId="4" applyFont="1" applyFill="1" applyBorder="1" applyAlignment="1">
      <alignment horizontal="left" vertical="top" wrapText="1"/>
    </xf>
    <xf numFmtId="14" fontId="0" fillId="0" borderId="22" xfId="0" applyNumberFormat="1" applyBorder="1" applyAlignment="1">
      <alignment horizontal="left" vertical="top"/>
    </xf>
    <xf numFmtId="0" fontId="0" fillId="0" borderId="22" xfId="0" applyBorder="1" applyAlignment="1">
      <alignment horizontal="left" vertical="top"/>
    </xf>
    <xf numFmtId="0" fontId="27" fillId="11" borderId="22" xfId="4" applyFont="1" applyFill="1" applyBorder="1" applyAlignment="1">
      <alignment horizontal="center" vertical="center" wrapText="1"/>
    </xf>
    <xf numFmtId="0" fontId="6" fillId="11" borderId="22" xfId="4" applyFont="1" applyFill="1" applyBorder="1" applyAlignment="1">
      <alignment horizontal="center" vertical="center" wrapText="1"/>
    </xf>
    <xf numFmtId="0" fontId="0" fillId="0" borderId="0" xfId="0" applyAlignment="1">
      <alignment horizontal="center" vertical="top"/>
    </xf>
    <xf numFmtId="0" fontId="33" fillId="10" borderId="22" xfId="4" applyFont="1" applyFill="1" applyBorder="1" applyAlignment="1">
      <alignment horizontal="center" vertical="top" wrapText="1"/>
    </xf>
    <xf numFmtId="14" fontId="0" fillId="0" borderId="22" xfId="0" applyNumberFormat="1" applyBorder="1" applyAlignment="1">
      <alignment horizontal="center" vertical="top"/>
    </xf>
    <xf numFmtId="2" fontId="33" fillId="10" borderId="22" xfId="4" applyNumberFormat="1" applyFont="1" applyFill="1" applyBorder="1" applyAlignment="1">
      <alignment horizontal="center" vertical="top" wrapText="1"/>
    </xf>
    <xf numFmtId="2" fontId="0" fillId="0" borderId="22" xfId="0" applyNumberFormat="1" applyBorder="1" applyAlignment="1">
      <alignment horizontal="center" vertical="top"/>
    </xf>
    <xf numFmtId="0" fontId="19" fillId="10" borderId="22" xfId="4" applyFont="1" applyFill="1" applyBorder="1" applyAlignment="1">
      <alignment horizontal="center" vertical="center" wrapText="1"/>
    </xf>
    <xf numFmtId="0" fontId="18" fillId="0" borderId="22" xfId="0" applyFont="1" applyBorder="1"/>
    <xf numFmtId="2" fontId="19" fillId="10" borderId="22" xfId="4" applyNumberFormat="1" applyFont="1" applyFill="1" applyBorder="1" applyAlignment="1">
      <alignment horizontal="center" vertical="center" wrapText="1"/>
    </xf>
    <xf numFmtId="43" fontId="0" fillId="7" borderId="22" xfId="1" applyNumberFormat="1" applyFont="1" applyFill="1" applyBorder="1" applyAlignment="1">
      <alignment horizontal="center" vertical="center" wrapText="1"/>
    </xf>
    <xf numFmtId="0" fontId="0" fillId="11" borderId="22" xfId="4" applyFont="1" applyFill="1" applyBorder="1" applyAlignment="1">
      <alignment horizontal="center" vertical="center" wrapText="1"/>
    </xf>
    <xf numFmtId="0" fontId="17" fillId="11" borderId="22" xfId="4" applyFont="1" applyFill="1" applyBorder="1" applyAlignment="1">
      <alignment horizontal="center" vertical="center" wrapText="1"/>
    </xf>
    <xf numFmtId="0" fontId="18" fillId="0" borderId="22" xfId="0" applyFont="1" applyBorder="1" applyAlignment="1">
      <alignment horizontal="center"/>
    </xf>
    <xf numFmtId="14" fontId="18" fillId="0" borderId="22" xfId="0" applyNumberFormat="1" applyFont="1" applyBorder="1" applyAlignment="1">
      <alignment horizontal="center" vertical="center"/>
    </xf>
    <xf numFmtId="0" fontId="18" fillId="0" borderId="22" xfId="0" applyFont="1" applyBorder="1" applyAlignment="1">
      <alignment horizontal="center" vertical="center"/>
    </xf>
    <xf numFmtId="2" fontId="0" fillId="0" borderId="22" xfId="0" applyNumberFormat="1" applyFont="1" applyBorder="1" applyAlignment="1">
      <alignment horizontal="center" vertical="center"/>
    </xf>
    <xf numFmtId="0" fontId="18" fillId="0" borderId="22" xfId="0" applyFont="1" applyFill="1" applyBorder="1" applyAlignment="1">
      <alignment horizontal="center"/>
    </xf>
    <xf numFmtId="2" fontId="17" fillId="0" borderId="22" xfId="0" applyNumberFormat="1" applyFont="1" applyBorder="1" applyAlignment="1">
      <alignment horizontal="center"/>
    </xf>
    <xf numFmtId="0" fontId="29" fillId="7" borderId="0" xfId="0" applyFont="1" applyFill="1" applyAlignment="1">
      <alignment vertical="top"/>
    </xf>
    <xf numFmtId="0" fontId="0" fillId="0" borderId="22" xfId="0" applyBorder="1" applyAlignment="1">
      <alignment horizontal="center" vertical="top" wrapText="1"/>
    </xf>
    <xf numFmtId="0" fontId="2" fillId="0" borderId="17" xfId="0" applyFont="1" applyFill="1" applyBorder="1" applyAlignment="1"/>
    <xf numFmtId="0" fontId="2" fillId="0" borderId="18" xfId="0" applyFont="1" applyFill="1" applyBorder="1" applyAlignment="1"/>
    <xf numFmtId="0" fontId="2" fillId="0" borderId="20" xfId="0" applyFont="1" applyFill="1" applyBorder="1" applyAlignment="1"/>
    <xf numFmtId="0" fontId="2" fillId="0" borderId="0" xfId="0" applyFont="1" applyFill="1" applyBorder="1" applyAlignment="1"/>
    <xf numFmtId="0" fontId="2" fillId="0" borderId="28" xfId="0" applyFont="1" applyFill="1" applyBorder="1" applyAlignment="1"/>
    <xf numFmtId="0" fontId="2" fillId="0" borderId="9" xfId="0" applyFont="1" applyFill="1" applyBorder="1" applyAlignment="1"/>
    <xf numFmtId="0" fontId="7" fillId="0" borderId="22" xfId="0" applyFont="1" applyBorder="1" applyAlignment="1">
      <alignment horizontal="center" vertical="center" wrapText="1"/>
    </xf>
    <xf numFmtId="0" fontId="0" fillId="0" borderId="22" xfId="0" applyFont="1" applyBorder="1" applyAlignment="1">
      <alignment horizontal="center" vertical="top"/>
    </xf>
    <xf numFmtId="0" fontId="7" fillId="0" borderId="22" xfId="0" applyFont="1" applyBorder="1" applyAlignment="1">
      <alignment horizontal="center"/>
    </xf>
    <xf numFmtId="0" fontId="0" fillId="0" borderId="0" xfId="0" applyAlignment="1">
      <alignment horizontal="center" vertical="top" wrapText="1"/>
    </xf>
    <xf numFmtId="0" fontId="18" fillId="0" borderId="22" xfId="0" applyFont="1" applyBorder="1" applyAlignment="1">
      <alignment horizontal="center" wrapText="1"/>
    </xf>
    <xf numFmtId="0" fontId="17" fillId="0" borderId="22" xfId="0" applyFont="1" applyBorder="1" applyAlignment="1">
      <alignment horizontal="center" wrapText="1"/>
    </xf>
    <xf numFmtId="14" fontId="0" fillId="2" borderId="22" xfId="0" applyNumberFormat="1" applyFill="1" applyBorder="1" applyAlignment="1">
      <alignment horizontal="center" vertical="top"/>
    </xf>
    <xf numFmtId="0" fontId="0" fillId="0" borderId="71" xfId="0" applyBorder="1" applyAlignment="1">
      <alignment vertical="top" wrapText="1"/>
    </xf>
    <xf numFmtId="0" fontId="0" fillId="0" borderId="71" xfId="0" applyBorder="1" applyAlignment="1">
      <alignment vertical="top"/>
    </xf>
    <xf numFmtId="0" fontId="27" fillId="0" borderId="71" xfId="0" applyFont="1" applyBorder="1" applyAlignment="1">
      <alignment vertical="top" wrapText="1"/>
    </xf>
    <xf numFmtId="0" fontId="0" fillId="0" borderId="30" xfId="0" applyBorder="1" applyAlignment="1">
      <alignment horizontal="center" vertical="top" wrapText="1"/>
    </xf>
    <xf numFmtId="0" fontId="0" fillId="0" borderId="30" xfId="0" applyBorder="1" applyAlignment="1">
      <alignment horizontal="center" vertical="top"/>
    </xf>
    <xf numFmtId="0" fontId="0" fillId="0" borderId="62" xfId="0" applyFill="1" applyBorder="1" applyAlignment="1">
      <alignment horizontal="center" vertical="top" wrapText="1"/>
    </xf>
    <xf numFmtId="0" fontId="0" fillId="0" borderId="24" xfId="0" applyBorder="1" applyAlignment="1">
      <alignment horizontal="center" vertical="top"/>
    </xf>
    <xf numFmtId="0" fontId="0" fillId="0" borderId="63" xfId="0" applyBorder="1" applyAlignment="1">
      <alignment horizontal="left" vertical="top" wrapText="1"/>
    </xf>
    <xf numFmtId="0" fontId="0" fillId="0" borderId="69" xfId="0" applyBorder="1" applyAlignment="1">
      <alignment horizontal="center" vertical="top" wrapText="1"/>
    </xf>
    <xf numFmtId="0" fontId="0" fillId="0" borderId="63" xfId="0" applyBorder="1" applyAlignment="1">
      <alignment horizontal="center" vertical="top" wrapText="1"/>
    </xf>
    <xf numFmtId="0" fontId="0" fillId="0" borderId="24" xfId="0" applyBorder="1" applyAlignment="1">
      <alignment horizontal="center" vertical="top" wrapText="1"/>
    </xf>
    <xf numFmtId="0" fontId="0" fillId="0" borderId="14" xfId="0" applyBorder="1" applyAlignment="1">
      <alignment horizontal="center" vertical="top" wrapText="1"/>
    </xf>
    <xf numFmtId="0" fontId="0" fillId="0" borderId="3" xfId="0" applyBorder="1" applyAlignment="1">
      <alignment horizontal="center" vertical="top" wrapText="1"/>
    </xf>
    <xf numFmtId="0" fontId="0" fillId="0" borderId="2" xfId="0" applyFill="1" applyBorder="1" applyAlignment="1">
      <alignment horizontal="center" vertical="top" wrapText="1"/>
    </xf>
    <xf numFmtId="0" fontId="0" fillId="0" borderId="2" xfId="0" applyBorder="1" applyAlignment="1">
      <alignment horizontal="center" vertical="top" wrapText="1"/>
    </xf>
    <xf numFmtId="0" fontId="0" fillId="0" borderId="2" xfId="0" applyBorder="1" applyAlignment="1">
      <alignment horizontal="center" vertical="top"/>
    </xf>
    <xf numFmtId="0" fontId="0" fillId="0" borderId="2" xfId="0" applyBorder="1" applyAlignment="1">
      <alignment horizontal="left" vertical="top" wrapText="1"/>
    </xf>
    <xf numFmtId="0" fontId="0" fillId="0" borderId="65" xfId="0" applyBorder="1" applyAlignment="1">
      <alignment horizontal="center" vertical="top" wrapText="1"/>
    </xf>
    <xf numFmtId="165" fontId="0" fillId="0" borderId="70" xfId="1" applyFont="1" applyBorder="1" applyAlignment="1">
      <alignment horizontal="center" vertical="top"/>
    </xf>
    <xf numFmtId="0" fontId="0" fillId="0" borderId="22" xfId="0" applyNumberFormat="1" applyFill="1" applyBorder="1" applyAlignment="1">
      <alignment horizontal="center" vertical="center" wrapText="1"/>
    </xf>
    <xf numFmtId="0" fontId="0" fillId="7" borderId="22" xfId="0" applyFont="1" applyFill="1" applyBorder="1" applyAlignment="1">
      <alignment horizontal="center" vertical="center" wrapText="1"/>
    </xf>
    <xf numFmtId="14" fontId="0" fillId="7" borderId="22" xfId="0" applyNumberFormat="1" applyFill="1" applyBorder="1" applyAlignment="1">
      <alignment horizontal="center" vertical="center"/>
    </xf>
    <xf numFmtId="0" fontId="0" fillId="12" borderId="22" xfId="0" applyFill="1" applyBorder="1" applyAlignment="1">
      <alignment horizontal="center" vertical="center" wrapText="1"/>
    </xf>
    <xf numFmtId="171" fontId="0" fillId="7" borderId="22" xfId="0" applyNumberFormat="1" applyFont="1" applyFill="1" applyBorder="1" applyAlignment="1">
      <alignment horizontal="center" vertical="center"/>
    </xf>
    <xf numFmtId="0" fontId="0" fillId="7" borderId="22" xfId="0" applyNumberFormat="1" applyFill="1" applyBorder="1" applyAlignment="1">
      <alignment horizontal="center" vertical="center" wrapText="1"/>
    </xf>
    <xf numFmtId="0" fontId="0" fillId="7" borderId="22" xfId="0" applyFont="1" applyFill="1" applyBorder="1" applyAlignment="1">
      <alignment horizontal="center" vertical="center"/>
    </xf>
    <xf numFmtId="0" fontId="0" fillId="12" borderId="22" xfId="0" applyFont="1" applyFill="1" applyBorder="1" applyAlignment="1">
      <alignment horizontal="center" vertical="center" wrapText="1"/>
    </xf>
    <xf numFmtId="0" fontId="0" fillId="7" borderId="22" xfId="0" applyFill="1" applyBorder="1" applyAlignment="1">
      <alignment horizontal="center" vertical="center"/>
    </xf>
    <xf numFmtId="3" fontId="0" fillId="7" borderId="22" xfId="0" applyNumberFormat="1" applyFill="1" applyBorder="1" applyAlignment="1">
      <alignment horizontal="center" vertical="center" wrapText="1"/>
    </xf>
    <xf numFmtId="0" fontId="0" fillId="13" borderId="22" xfId="0" applyFill="1" applyBorder="1" applyAlignment="1">
      <alignment horizontal="center" vertical="center" wrapText="1"/>
    </xf>
    <xf numFmtId="0" fontId="0" fillId="13" borderId="22" xfId="0" applyFont="1" applyFill="1" applyBorder="1" applyAlignment="1">
      <alignment horizontal="center" vertical="center"/>
    </xf>
    <xf numFmtId="14" fontId="0" fillId="12" borderId="22" xfId="0" applyNumberFormat="1" applyFill="1" applyBorder="1" applyAlignment="1">
      <alignment horizontal="center" vertical="center"/>
    </xf>
    <xf numFmtId="14" fontId="0" fillId="12" borderId="0" xfId="0" applyNumberFormat="1" applyFill="1" applyBorder="1" applyAlignment="1">
      <alignment horizontal="center" vertical="center"/>
    </xf>
    <xf numFmtId="171" fontId="0" fillId="7" borderId="0" xfId="0" applyNumberFormat="1" applyFont="1" applyFill="1" applyAlignment="1">
      <alignment horizontal="center" vertical="center"/>
    </xf>
    <xf numFmtId="171" fontId="0" fillId="7" borderId="22" xfId="0" applyNumberFormat="1" applyFill="1" applyBorder="1" applyAlignment="1">
      <alignment horizontal="center" vertical="center"/>
    </xf>
    <xf numFmtId="4" fontId="0" fillId="7" borderId="22" xfId="0" applyNumberFormat="1" applyFill="1" applyBorder="1" applyAlignment="1">
      <alignment horizontal="center" vertical="center" wrapText="1"/>
    </xf>
    <xf numFmtId="15" fontId="0" fillId="7" borderId="22" xfId="0" applyNumberFormat="1" applyFont="1" applyFill="1" applyBorder="1" applyAlignment="1">
      <alignment horizontal="center" vertical="center"/>
    </xf>
    <xf numFmtId="2" fontId="0" fillId="7" borderId="22" xfId="0" applyNumberFormat="1" applyFont="1" applyFill="1" applyBorder="1" applyAlignment="1">
      <alignment horizontal="center" vertical="center" wrapText="1"/>
    </xf>
    <xf numFmtId="1" fontId="0" fillId="7" borderId="22" xfId="0" applyNumberFormat="1" applyFill="1" applyBorder="1" applyAlignment="1">
      <alignment horizontal="center" vertical="center" wrapText="1"/>
    </xf>
    <xf numFmtId="14" fontId="0" fillId="13" borderId="22" xfId="0" applyNumberFormat="1" applyFill="1" applyBorder="1" applyAlignment="1">
      <alignment horizontal="center" vertical="center"/>
    </xf>
    <xf numFmtId="14" fontId="0" fillId="7" borderId="22" xfId="0" applyNumberFormat="1" applyFill="1" applyBorder="1" applyAlignment="1">
      <alignment horizontal="center" vertical="center" wrapText="1"/>
    </xf>
    <xf numFmtId="171" fontId="0" fillId="7" borderId="22" xfId="0" applyNumberFormat="1" applyFont="1" applyFill="1" applyBorder="1" applyAlignment="1">
      <alignment horizontal="center" vertical="center" wrapText="1"/>
    </xf>
    <xf numFmtId="3" fontId="0" fillId="7" borderId="22" xfId="0" applyNumberFormat="1" applyFont="1" applyFill="1" applyBorder="1" applyAlignment="1">
      <alignment horizontal="center" vertical="center" wrapText="1"/>
    </xf>
    <xf numFmtId="0" fontId="0" fillId="13" borderId="22" xfId="0" applyFont="1" applyFill="1" applyBorder="1" applyAlignment="1">
      <alignment horizontal="center" vertical="center" wrapText="1"/>
    </xf>
    <xf numFmtId="15" fontId="0" fillId="7" borderId="22" xfId="0" applyNumberFormat="1" applyFill="1" applyBorder="1" applyAlignment="1">
      <alignment horizontal="center" vertical="center"/>
    </xf>
    <xf numFmtId="14" fontId="0" fillId="12" borderId="22" xfId="0" applyNumberFormat="1" applyFill="1" applyBorder="1" applyAlignment="1">
      <alignment horizontal="center" vertical="center" wrapText="1"/>
    </xf>
    <xf numFmtId="171" fontId="0" fillId="7" borderId="22" xfId="0" applyNumberFormat="1" applyFill="1" applyBorder="1" applyAlignment="1">
      <alignment horizontal="center" vertical="center" wrapText="1"/>
    </xf>
    <xf numFmtId="2" fontId="0" fillId="7" borderId="22" xfId="0" applyNumberFormat="1" applyFill="1" applyBorder="1" applyAlignment="1">
      <alignment horizontal="center" vertical="center" wrapText="1"/>
    </xf>
    <xf numFmtId="3" fontId="0" fillId="7" borderId="22" xfId="0" applyNumberFormat="1" applyFont="1" applyFill="1" applyBorder="1" applyAlignment="1">
      <alignment horizontal="center" vertical="center"/>
    </xf>
    <xf numFmtId="14" fontId="0" fillId="13" borderId="22" xfId="0" applyNumberFormat="1" applyFill="1" applyBorder="1" applyAlignment="1">
      <alignment horizontal="center" vertical="center" wrapText="1"/>
    </xf>
    <xf numFmtId="0" fontId="0" fillId="13" borderId="46" xfId="0" applyFont="1" applyFill="1" applyBorder="1" applyAlignment="1">
      <alignment horizontal="center" vertical="center"/>
    </xf>
    <xf numFmtId="4" fontId="0" fillId="7" borderId="22" xfId="0" applyNumberFormat="1" applyFont="1" applyFill="1" applyBorder="1" applyAlignment="1">
      <alignment horizontal="center" vertical="center"/>
    </xf>
    <xf numFmtId="0" fontId="0" fillId="7" borderId="71" xfId="0" applyFont="1" applyFill="1" applyBorder="1" applyAlignment="1">
      <alignment horizontal="center" vertical="center" wrapText="1"/>
    </xf>
    <xf numFmtId="14" fontId="0" fillId="7" borderId="71" xfId="0" applyNumberFormat="1" applyFill="1" applyBorder="1" applyAlignment="1">
      <alignment horizontal="center" vertical="center"/>
    </xf>
    <xf numFmtId="14" fontId="0" fillId="12" borderId="71" xfId="0" applyNumberFormat="1" applyFill="1" applyBorder="1" applyAlignment="1">
      <alignment horizontal="center" vertical="center"/>
    </xf>
    <xf numFmtId="0" fontId="0" fillId="7" borderId="71" xfId="0" applyFont="1" applyFill="1" applyBorder="1" applyAlignment="1">
      <alignment horizontal="center" vertical="center"/>
    </xf>
    <xf numFmtId="3" fontId="0" fillId="7" borderId="22" xfId="0" applyNumberFormat="1" applyFill="1" applyBorder="1" applyAlignment="1">
      <alignment horizontal="center" vertical="center"/>
    </xf>
    <xf numFmtId="0" fontId="0" fillId="12" borderId="22" xfId="0" applyFill="1" applyBorder="1" applyAlignment="1">
      <alignment horizontal="center" vertical="center"/>
    </xf>
    <xf numFmtId="4" fontId="0" fillId="7" borderId="22" xfId="0" applyNumberFormat="1" applyFill="1" applyBorder="1" applyAlignment="1">
      <alignment horizontal="center" vertical="center"/>
    </xf>
    <xf numFmtId="0" fontId="0" fillId="7" borderId="71" xfId="0" applyFill="1" applyBorder="1" applyAlignment="1">
      <alignment horizontal="center" vertical="center" wrapText="1"/>
    </xf>
    <xf numFmtId="0" fontId="0" fillId="7" borderId="71" xfId="0" applyFill="1" applyBorder="1" applyAlignment="1">
      <alignment horizontal="center" vertical="center"/>
    </xf>
    <xf numFmtId="4" fontId="0" fillId="7" borderId="71" xfId="0" applyNumberFormat="1" applyFill="1" applyBorder="1" applyAlignment="1">
      <alignment horizontal="center" vertical="center"/>
    </xf>
    <xf numFmtId="0" fontId="0" fillId="13" borderId="22" xfId="0" applyFill="1" applyBorder="1" applyAlignment="1">
      <alignment horizontal="center" vertical="center"/>
    </xf>
    <xf numFmtId="0" fontId="29" fillId="13" borderId="22" xfId="0" applyFont="1" applyFill="1" applyBorder="1" applyAlignment="1">
      <alignment horizontal="center" vertical="center" wrapText="1"/>
    </xf>
    <xf numFmtId="0" fontId="29" fillId="13" borderId="22" xfId="0" applyFont="1" applyFill="1" applyBorder="1" applyAlignment="1">
      <alignment horizontal="center" vertical="center"/>
    </xf>
    <xf numFmtId="0" fontId="29" fillId="12" borderId="22" xfId="0" applyFont="1" applyFill="1" applyBorder="1" applyAlignment="1">
      <alignment horizontal="center" vertical="center"/>
    </xf>
    <xf numFmtId="0" fontId="0" fillId="0" borderId="22" xfId="0" applyFont="1" applyBorder="1" applyAlignment="1">
      <alignment horizontal="center"/>
    </xf>
    <xf numFmtId="0" fontId="0" fillId="0" borderId="22" xfId="0" applyFont="1" applyFill="1" applyBorder="1" applyAlignment="1">
      <alignment horizontal="center"/>
    </xf>
    <xf numFmtId="0" fontId="7" fillId="4" borderId="22" xfId="0" applyFont="1" applyFill="1" applyBorder="1" applyAlignment="1">
      <alignment horizontal="center" vertical="top" wrapText="1"/>
    </xf>
    <xf numFmtId="3" fontId="0" fillId="0" borderId="22" xfId="0" applyNumberFormat="1" applyBorder="1" applyAlignment="1">
      <alignment horizontal="center" vertical="top" wrapText="1"/>
    </xf>
    <xf numFmtId="0" fontId="0" fillId="7" borderId="22" xfId="0" applyFill="1" applyBorder="1" applyAlignment="1">
      <alignment horizontal="center" vertical="top" wrapText="1"/>
    </xf>
    <xf numFmtId="1" fontId="0" fillId="0" borderId="22" xfId="0" applyNumberFormat="1" applyFill="1" applyBorder="1" applyAlignment="1">
      <alignment horizontal="center" vertical="top" wrapText="1"/>
    </xf>
    <xf numFmtId="3" fontId="0" fillId="0" borderId="22" xfId="0" applyNumberFormat="1" applyFont="1" applyBorder="1" applyAlignment="1">
      <alignment horizontal="center" vertical="top"/>
    </xf>
    <xf numFmtId="0" fontId="0" fillId="0" borderId="22" xfId="0" applyFont="1" applyBorder="1" applyAlignment="1">
      <alignment horizontal="center" vertical="top" wrapText="1"/>
    </xf>
    <xf numFmtId="0" fontId="27" fillId="2" borderId="22" xfId="0" applyFont="1" applyFill="1" applyBorder="1" applyAlignment="1">
      <alignment horizontal="center" vertical="top" wrapText="1"/>
    </xf>
    <xf numFmtId="2" fontId="0" fillId="0" borderId="22" xfId="0" applyNumberFormat="1" applyFill="1" applyBorder="1" applyAlignment="1">
      <alignment horizontal="center" vertical="top" wrapText="1"/>
    </xf>
    <xf numFmtId="1" fontId="0" fillId="2" borderId="22" xfId="0" applyNumberFormat="1" applyFill="1" applyBorder="1" applyAlignment="1">
      <alignment horizontal="center" vertical="top" wrapText="1"/>
    </xf>
    <xf numFmtId="0" fontId="0" fillId="0" borderId="71" xfId="0" applyFont="1" applyBorder="1" applyAlignment="1">
      <alignment horizontal="center" vertical="top"/>
    </xf>
    <xf numFmtId="2" fontId="0" fillId="0" borderId="71" xfId="0" applyNumberFormat="1" applyFont="1" applyFill="1" applyBorder="1" applyAlignment="1">
      <alignment horizontal="center" vertical="top" wrapText="1"/>
    </xf>
    <xf numFmtId="0" fontId="0" fillId="0" borderId="22" xfId="0" applyFont="1" applyFill="1" applyBorder="1" applyAlignment="1">
      <alignment horizontal="center" vertical="top"/>
    </xf>
    <xf numFmtId="0" fontId="0" fillId="0" borderId="75" xfId="0" applyBorder="1" applyAlignment="1">
      <alignment horizontal="left" vertical="top" wrapText="1"/>
    </xf>
    <xf numFmtId="0" fontId="7" fillId="0" borderId="17" xfId="0" applyFont="1" applyBorder="1" applyAlignment="1">
      <alignment horizontal="center" vertical="top" wrapText="1"/>
    </xf>
    <xf numFmtId="0" fontId="7" fillId="0" borderId="2" xfId="0" applyFont="1" applyBorder="1" applyAlignment="1">
      <alignment horizontal="center" vertical="top" wrapText="1"/>
    </xf>
    <xf numFmtId="0" fontId="7" fillId="0" borderId="19" xfId="0" applyFont="1" applyBorder="1" applyAlignment="1">
      <alignment horizontal="center" vertical="top" wrapText="1"/>
    </xf>
    <xf numFmtId="0" fontId="7" fillId="0" borderId="32" xfId="0" applyFont="1" applyBorder="1" applyAlignment="1">
      <alignment horizontal="center" vertical="top" wrapText="1"/>
    </xf>
    <xf numFmtId="0" fontId="7" fillId="0" borderId="29" xfId="0" applyFont="1" applyBorder="1" applyAlignment="1">
      <alignment horizontal="center" vertical="top" wrapText="1"/>
    </xf>
    <xf numFmtId="0" fontId="0" fillId="2" borderId="2" xfId="0" applyFill="1" applyBorder="1" applyAlignment="1">
      <alignment vertical="top" wrapText="1"/>
    </xf>
    <xf numFmtId="0" fontId="27" fillId="2" borderId="2" xfId="0" applyFont="1" applyFill="1" applyBorder="1" applyAlignment="1">
      <alignment horizontal="center" vertical="top" wrapText="1"/>
    </xf>
    <xf numFmtId="1" fontId="0" fillId="2" borderId="2" xfId="0" applyNumberFormat="1" applyFill="1" applyBorder="1" applyAlignment="1">
      <alignment horizontal="center" vertical="top" wrapText="1"/>
    </xf>
    <xf numFmtId="0" fontId="0" fillId="2" borderId="2" xfId="0" applyFill="1" applyBorder="1" applyAlignment="1">
      <alignment horizontal="center" vertical="top" wrapText="1"/>
    </xf>
    <xf numFmtId="0" fontId="0" fillId="2" borderId="0" xfId="0" applyFill="1"/>
    <xf numFmtId="0" fontId="0" fillId="2" borderId="33" xfId="0" applyFill="1" applyBorder="1" applyAlignment="1">
      <alignment horizontal="left" vertical="top" wrapText="1"/>
    </xf>
    <xf numFmtId="0" fontId="0" fillId="2" borderId="9" xfId="0" applyFill="1" applyBorder="1" applyAlignment="1">
      <alignment horizontal="left" vertical="top" wrapText="1"/>
    </xf>
    <xf numFmtId="0" fontId="0" fillId="2" borderId="2" xfId="0" applyFill="1" applyBorder="1" applyAlignment="1">
      <alignment horizontal="center" vertical="top"/>
    </xf>
    <xf numFmtId="3" fontId="0" fillId="2" borderId="2" xfId="0" applyNumberFormat="1" applyFill="1" applyBorder="1" applyAlignment="1">
      <alignment horizontal="center" vertical="top" wrapText="1"/>
    </xf>
    <xf numFmtId="0" fontId="0" fillId="2" borderId="73" xfId="0" applyFill="1" applyBorder="1" applyAlignment="1">
      <alignment horizontal="center" vertical="center" wrapText="1"/>
    </xf>
    <xf numFmtId="0" fontId="0" fillId="2" borderId="22" xfId="0" applyNumberFormat="1" applyFill="1" applyBorder="1" applyAlignment="1">
      <alignment horizontal="center" vertical="center" wrapText="1"/>
    </xf>
    <xf numFmtId="15" fontId="0" fillId="2" borderId="2" xfId="0" applyNumberFormat="1" applyFont="1" applyFill="1" applyBorder="1" applyAlignment="1">
      <alignment horizontal="center" vertical="top"/>
    </xf>
    <xf numFmtId="0" fontId="0" fillId="2" borderId="2" xfId="0" applyFont="1" applyFill="1" applyBorder="1" applyAlignment="1">
      <alignment horizontal="center" vertical="top" wrapText="1"/>
    </xf>
    <xf numFmtId="0" fontId="0" fillId="2" borderId="73" xfId="0" applyFont="1" applyFill="1" applyBorder="1" applyAlignment="1">
      <alignment horizontal="center" vertical="center" wrapText="1"/>
    </xf>
    <xf numFmtId="0" fontId="0" fillId="2" borderId="2" xfId="0" applyFont="1" applyFill="1" applyBorder="1" applyAlignment="1">
      <alignment vertical="top" wrapText="1"/>
    </xf>
    <xf numFmtId="0" fontId="0" fillId="2" borderId="2" xfId="0" applyFont="1" applyFill="1" applyBorder="1" applyAlignment="1">
      <alignment horizontal="center" vertical="top"/>
    </xf>
    <xf numFmtId="3" fontId="0" fillId="2" borderId="2" xfId="0" applyNumberFormat="1" applyFont="1" applyFill="1" applyBorder="1" applyAlignment="1">
      <alignment horizontal="center" vertical="top"/>
    </xf>
    <xf numFmtId="2" fontId="0" fillId="2" borderId="2" xfId="0" applyNumberFormat="1" applyFill="1" applyBorder="1" applyAlignment="1">
      <alignment horizontal="center" vertical="top" wrapText="1"/>
    </xf>
    <xf numFmtId="3" fontId="0" fillId="2" borderId="2" xfId="0" applyNumberFormat="1" applyFont="1" applyFill="1" applyBorder="1" applyAlignment="1">
      <alignment horizontal="center" vertical="top" wrapText="1"/>
    </xf>
    <xf numFmtId="2" fontId="0" fillId="2" borderId="2" xfId="0" applyNumberFormat="1" applyFont="1" applyFill="1" applyBorder="1" applyAlignment="1">
      <alignment horizontal="center" vertical="top" wrapText="1"/>
    </xf>
    <xf numFmtId="0" fontId="0" fillId="2" borderId="37" xfId="0" applyFont="1" applyFill="1" applyBorder="1" applyAlignment="1">
      <alignment horizontal="center" vertical="center" wrapText="1"/>
    </xf>
    <xf numFmtId="4" fontId="0" fillId="2" borderId="2" xfId="0" applyNumberFormat="1" applyFont="1" applyFill="1" applyBorder="1" applyAlignment="1">
      <alignment horizontal="center" vertical="top"/>
    </xf>
    <xf numFmtId="0" fontId="0" fillId="2" borderId="73" xfId="0" applyFill="1" applyBorder="1" applyAlignment="1">
      <alignment horizontal="center" vertical="center"/>
    </xf>
    <xf numFmtId="0" fontId="0" fillId="2" borderId="22" xfId="0" applyFill="1" applyBorder="1" applyAlignment="1">
      <alignment horizontal="center" vertical="center"/>
    </xf>
    <xf numFmtId="0" fontId="0" fillId="2" borderId="22" xfId="0" applyFont="1" applyFill="1" applyBorder="1" applyAlignment="1">
      <alignment horizontal="center" vertical="center"/>
    </xf>
    <xf numFmtId="3" fontId="0" fillId="2" borderId="2" xfId="0" applyNumberFormat="1" applyFill="1" applyBorder="1" applyAlignment="1">
      <alignment horizontal="center" vertical="top"/>
    </xf>
    <xf numFmtId="0" fontId="29" fillId="2" borderId="22" xfId="0" applyFont="1" applyFill="1" applyBorder="1" applyAlignment="1">
      <alignment horizontal="center" vertical="center" wrapText="1"/>
    </xf>
    <xf numFmtId="0" fontId="29" fillId="2" borderId="22" xfId="0" applyFont="1" applyFill="1" applyBorder="1" applyAlignment="1">
      <alignment horizontal="center" vertical="center"/>
    </xf>
    <xf numFmtId="0" fontId="29" fillId="14" borderId="2" xfId="0" applyFont="1" applyFill="1" applyBorder="1" applyAlignment="1">
      <alignment horizontal="center" vertical="top"/>
    </xf>
    <xf numFmtId="0" fontId="0" fillId="14" borderId="2" xfId="0" applyFont="1" applyFill="1" applyBorder="1" applyAlignment="1">
      <alignment horizontal="center" vertical="top"/>
    </xf>
    <xf numFmtId="0" fontId="0" fillId="14" borderId="2" xfId="0" applyFill="1" applyBorder="1" applyAlignment="1">
      <alignment horizontal="center" vertical="top"/>
    </xf>
    <xf numFmtId="0" fontId="29" fillId="14" borderId="2" xfId="0" applyFont="1" applyFill="1" applyBorder="1" applyAlignment="1">
      <alignment vertical="top" wrapText="1"/>
    </xf>
    <xf numFmtId="0" fontId="29" fillId="14" borderId="2" xfId="0" applyFont="1" applyFill="1" applyBorder="1" applyAlignment="1">
      <alignment horizontal="center" vertical="top" wrapText="1"/>
    </xf>
    <xf numFmtId="0" fontId="29" fillId="14" borderId="2" xfId="0" applyFont="1" applyFill="1" applyBorder="1" applyAlignment="1">
      <alignment vertical="top"/>
    </xf>
    <xf numFmtId="0" fontId="0" fillId="14" borderId="2" xfId="0" applyFill="1" applyBorder="1" applyAlignment="1">
      <alignment horizontal="center" vertical="top" wrapText="1"/>
    </xf>
    <xf numFmtId="0" fontId="0" fillId="14" borderId="2" xfId="0" applyFill="1" applyBorder="1" applyAlignment="1">
      <alignment vertical="top" wrapText="1"/>
    </xf>
    <xf numFmtId="165" fontId="0" fillId="14" borderId="2" xfId="1" applyFont="1" applyFill="1" applyBorder="1" applyAlignment="1">
      <alignment horizontal="left" vertical="top"/>
    </xf>
    <xf numFmtId="0" fontId="0" fillId="0" borderId="0" xfId="0" applyAlignment="1">
      <alignment horizontal="left" vertical="center"/>
    </xf>
    <xf numFmtId="0" fontId="10" fillId="5" borderId="22" xfId="0" applyFont="1" applyFill="1" applyBorder="1" applyAlignment="1">
      <alignment horizontal="left" vertical="center" wrapText="1"/>
    </xf>
    <xf numFmtId="0" fontId="10" fillId="5" borderId="35" xfId="0" applyFont="1" applyFill="1" applyBorder="1" applyAlignment="1">
      <alignment horizontal="left" vertical="center" wrapText="1"/>
    </xf>
    <xf numFmtId="0" fontId="0" fillId="0" borderId="22" xfId="0" applyBorder="1" applyAlignment="1">
      <alignment horizontal="left" vertical="center"/>
    </xf>
    <xf numFmtId="0" fontId="0" fillId="0" borderId="22" xfId="0" applyFill="1" applyBorder="1" applyAlignment="1">
      <alignment horizontal="left" vertical="center"/>
    </xf>
    <xf numFmtId="0" fontId="27" fillId="14" borderId="22" xfId="0" applyFont="1" applyFill="1" applyBorder="1" applyAlignment="1">
      <alignment vertical="top"/>
    </xf>
    <xf numFmtId="0" fontId="0" fillId="14" borderId="22" xfId="0" applyFill="1" applyBorder="1" applyAlignment="1">
      <alignment vertical="top"/>
    </xf>
    <xf numFmtId="0" fontId="0" fillId="14" borderId="22" xfId="0" applyFill="1" applyBorder="1" applyAlignment="1">
      <alignment horizontal="center" vertical="top" wrapText="1"/>
    </xf>
    <xf numFmtId="0" fontId="35" fillId="7" borderId="14" xfId="0" applyFont="1" applyFill="1" applyBorder="1" applyAlignment="1"/>
    <xf numFmtId="0" fontId="35" fillId="7" borderId="14" xfId="0" applyFont="1" applyFill="1" applyBorder="1" applyAlignment="1">
      <alignment horizontal="center"/>
    </xf>
    <xf numFmtId="0" fontId="27" fillId="11" borderId="22" xfId="4" applyFont="1" applyFill="1" applyBorder="1" applyAlignment="1">
      <alignment horizontal="left" vertical="top" wrapText="1"/>
    </xf>
    <xf numFmtId="0" fontId="34" fillId="0" borderId="22" xfId="0" applyFont="1" applyBorder="1" applyAlignment="1">
      <alignment horizontal="left" vertical="center"/>
    </xf>
    <xf numFmtId="0" fontId="34" fillId="0" borderId="22" xfId="0" applyFont="1" applyBorder="1" applyAlignment="1">
      <alignment horizontal="left" vertical="center" wrapText="1"/>
    </xf>
    <xf numFmtId="0" fontId="0" fillId="4" borderId="22" xfId="0" applyFont="1" applyFill="1" applyBorder="1" applyAlignment="1">
      <alignment horizontal="center" vertical="top" wrapText="1"/>
    </xf>
    <xf numFmtId="14" fontId="7" fillId="4" borderId="22" xfId="0" applyNumberFormat="1" applyFont="1" applyFill="1" applyBorder="1" applyAlignment="1">
      <alignment horizontal="center" vertical="top" wrapText="1"/>
    </xf>
    <xf numFmtId="0" fontId="0" fillId="2" borderId="22" xfId="0" applyFont="1" applyFill="1" applyBorder="1" applyAlignment="1">
      <alignment horizontal="center" vertical="top" wrapText="1"/>
    </xf>
    <xf numFmtId="171" fontId="0" fillId="0" borderId="22" xfId="0" applyNumberFormat="1" applyFill="1" applyBorder="1" applyAlignment="1">
      <alignment horizontal="center" vertical="top" wrapText="1"/>
    </xf>
    <xf numFmtId="14" fontId="0" fillId="0" borderId="22" xfId="0" applyNumberFormat="1" applyFill="1" applyBorder="1" applyAlignment="1">
      <alignment horizontal="center" vertical="top" wrapText="1"/>
    </xf>
    <xf numFmtId="171" fontId="0" fillId="0" borderId="22" xfId="0" applyNumberFormat="1" applyFont="1" applyFill="1" applyBorder="1" applyAlignment="1">
      <alignment horizontal="center" vertical="top" wrapText="1"/>
    </xf>
    <xf numFmtId="171" fontId="0" fillId="0" borderId="22" xfId="0" applyNumberFormat="1" applyFont="1" applyFill="1" applyBorder="1" applyAlignment="1">
      <alignment horizontal="center" vertical="top"/>
    </xf>
    <xf numFmtId="14" fontId="0" fillId="0" borderId="22" xfId="0" applyNumberFormat="1" applyFill="1" applyBorder="1" applyAlignment="1">
      <alignment horizontal="center" vertical="top"/>
    </xf>
    <xf numFmtId="171" fontId="0" fillId="0" borderId="22" xfId="0" applyNumberFormat="1" applyFill="1" applyBorder="1" applyAlignment="1">
      <alignment horizontal="center" vertical="top"/>
    </xf>
    <xf numFmtId="14" fontId="0" fillId="0" borderId="22" xfId="0" applyNumberFormat="1" applyFont="1" applyFill="1" applyBorder="1" applyAlignment="1">
      <alignment horizontal="center" vertical="top" wrapText="1"/>
    </xf>
    <xf numFmtId="171" fontId="0" fillId="0" borderId="22" xfId="0" applyNumberFormat="1" applyBorder="1" applyAlignment="1">
      <alignment horizontal="center" vertical="top"/>
    </xf>
    <xf numFmtId="14" fontId="0" fillId="0" borderId="22" xfId="0" applyNumberFormat="1" applyFont="1" applyBorder="1" applyAlignment="1">
      <alignment horizontal="center" vertical="top"/>
    </xf>
    <xf numFmtId="14" fontId="0" fillId="0" borderId="22" xfId="0" applyNumberFormat="1" applyFont="1" applyBorder="1" applyAlignment="1">
      <alignment horizontal="center" vertical="top" wrapText="1"/>
    </xf>
    <xf numFmtId="1" fontId="0" fillId="0" borderId="22" xfId="0" applyNumberFormat="1" applyFont="1" applyFill="1" applyBorder="1" applyAlignment="1">
      <alignment horizontal="center" vertical="top" wrapText="1"/>
    </xf>
    <xf numFmtId="0" fontId="0" fillId="2" borderId="22" xfId="0" applyFill="1" applyBorder="1" applyAlignment="1">
      <alignment horizontal="center" vertical="top" wrapText="1"/>
    </xf>
    <xf numFmtId="4" fontId="0" fillId="0" borderId="22" xfId="0" applyNumberFormat="1" applyFont="1" applyBorder="1" applyAlignment="1">
      <alignment horizontal="center" vertical="top"/>
    </xf>
    <xf numFmtId="171" fontId="0" fillId="0" borderId="22" xfId="0" applyNumberFormat="1" applyFont="1" applyBorder="1" applyAlignment="1">
      <alignment horizontal="center" vertical="top"/>
    </xf>
    <xf numFmtId="2" fontId="0" fillId="0" borderId="22" xfId="0" applyNumberFormat="1" applyFont="1" applyFill="1" applyBorder="1" applyAlignment="1">
      <alignment horizontal="center" vertical="top" wrapText="1"/>
    </xf>
    <xf numFmtId="4" fontId="0" fillId="0" borderId="22" xfId="0" applyNumberFormat="1" applyFont="1" applyFill="1" applyBorder="1" applyAlignment="1">
      <alignment horizontal="center" vertical="top" wrapText="1"/>
    </xf>
    <xf numFmtId="3" fontId="0" fillId="0" borderId="22" xfId="0" applyNumberFormat="1" applyFill="1" applyBorder="1" applyAlignment="1">
      <alignment horizontal="center" vertical="top" wrapText="1"/>
    </xf>
    <xf numFmtId="0" fontId="0" fillId="0" borderId="22" xfId="0" applyFill="1" applyBorder="1" applyAlignment="1">
      <alignment horizontal="center" vertical="top" wrapText="1"/>
    </xf>
    <xf numFmtId="171" fontId="0" fillId="2" borderId="22" xfId="0" applyNumberFormat="1" applyFont="1" applyFill="1" applyBorder="1" applyAlignment="1">
      <alignment horizontal="center" vertical="top"/>
    </xf>
    <xf numFmtId="171" fontId="0" fillId="2" borderId="22" xfId="0" applyNumberFormat="1" applyFont="1" applyFill="1" applyBorder="1" applyAlignment="1">
      <alignment horizontal="center" vertical="top" wrapText="1"/>
    </xf>
    <xf numFmtId="171" fontId="0" fillId="2" borderId="22" xfId="0" applyNumberFormat="1" applyFill="1" applyBorder="1" applyAlignment="1">
      <alignment horizontal="center" vertical="top"/>
    </xf>
    <xf numFmtId="3" fontId="0" fillId="0" borderId="22" xfId="0" applyNumberFormat="1" applyFont="1" applyFill="1" applyBorder="1" applyAlignment="1">
      <alignment horizontal="center" vertical="top" wrapText="1"/>
    </xf>
    <xf numFmtId="171" fontId="0" fillId="0" borderId="0" xfId="0" applyNumberFormat="1" applyFont="1" applyFill="1" applyAlignment="1">
      <alignment horizontal="center" vertical="top"/>
    </xf>
    <xf numFmtId="15" fontId="0" fillId="0" borderId="22" xfId="0" applyNumberFormat="1" applyFont="1" applyBorder="1" applyAlignment="1">
      <alignment horizontal="center" vertical="top"/>
    </xf>
    <xf numFmtId="15" fontId="0" fillId="0" borderId="22" xfId="0" applyNumberFormat="1" applyFont="1" applyBorder="1" applyAlignment="1">
      <alignment horizontal="center" vertical="top" wrapText="1"/>
    </xf>
    <xf numFmtId="4" fontId="0" fillId="0" borderId="22" xfId="0" applyNumberFormat="1" applyBorder="1" applyAlignment="1">
      <alignment horizontal="center" vertical="top" wrapText="1"/>
    </xf>
    <xf numFmtId="0" fontId="17" fillId="0" borderId="22" xfId="0" applyFont="1" applyFill="1" applyBorder="1" applyAlignment="1">
      <alignment horizontal="center" vertical="top" wrapText="1"/>
    </xf>
    <xf numFmtId="14" fontId="0" fillId="0" borderId="22" xfId="0" applyNumberFormat="1" applyBorder="1" applyAlignment="1">
      <alignment horizontal="center" vertical="top" wrapText="1"/>
    </xf>
    <xf numFmtId="171" fontId="0" fillId="0" borderId="22" xfId="0" applyNumberFormat="1" applyFont="1" applyBorder="1" applyAlignment="1">
      <alignment horizontal="center" vertical="top" wrapText="1"/>
    </xf>
    <xf numFmtId="171" fontId="0" fillId="0" borderId="22" xfId="0" applyNumberFormat="1" applyBorder="1" applyAlignment="1">
      <alignment horizontal="center" vertical="top" wrapText="1"/>
    </xf>
    <xf numFmtId="2" fontId="0" fillId="2" borderId="22" xfId="0" applyNumberFormat="1" applyFont="1" applyFill="1" applyBorder="1" applyAlignment="1">
      <alignment horizontal="center" vertical="top" wrapText="1"/>
    </xf>
    <xf numFmtId="14" fontId="0" fillId="0" borderId="22" xfId="0" applyNumberFormat="1" applyFont="1" applyFill="1" applyBorder="1" applyAlignment="1">
      <alignment horizontal="center" vertical="top"/>
    </xf>
    <xf numFmtId="4" fontId="0" fillId="2" borderId="22" xfId="0" applyNumberFormat="1" applyFont="1" applyFill="1" applyBorder="1" applyAlignment="1">
      <alignment horizontal="center" vertical="top" wrapText="1"/>
    </xf>
    <xf numFmtId="171" fontId="0" fillId="0" borderId="0" xfId="0" applyNumberFormat="1" applyAlignment="1">
      <alignment horizontal="center" vertical="top"/>
    </xf>
    <xf numFmtId="15" fontId="0" fillId="0" borderId="22" xfId="0" applyNumberFormat="1" applyBorder="1" applyAlignment="1">
      <alignment horizontal="center" vertical="top"/>
    </xf>
    <xf numFmtId="15" fontId="0" fillId="0" borderId="22" xfId="0" applyNumberFormat="1" applyBorder="1" applyAlignment="1">
      <alignment horizontal="center" vertical="top" wrapText="1"/>
    </xf>
    <xf numFmtId="14" fontId="27" fillId="2" borderId="22" xfId="0" applyNumberFormat="1" applyFont="1" applyFill="1" applyBorder="1" applyAlignment="1">
      <alignment horizontal="center" vertical="top" wrapText="1"/>
    </xf>
    <xf numFmtId="0" fontId="0" fillId="14" borderId="22" xfId="0" applyFont="1" applyFill="1" applyBorder="1" applyAlignment="1">
      <alignment horizontal="center" vertical="top" wrapText="1"/>
    </xf>
    <xf numFmtId="171" fontId="0" fillId="14" borderId="22" xfId="0" applyNumberFormat="1" applyFill="1" applyBorder="1" applyAlignment="1">
      <alignment horizontal="center" vertical="top"/>
    </xf>
    <xf numFmtId="14" fontId="0" fillId="14" borderId="22" xfId="0" applyNumberFormat="1" applyFill="1" applyBorder="1" applyAlignment="1">
      <alignment horizontal="center" vertical="top"/>
    </xf>
    <xf numFmtId="0" fontId="0" fillId="14" borderId="22" xfId="0" applyFont="1" applyFill="1" applyBorder="1" applyAlignment="1">
      <alignment horizontal="center" vertical="top"/>
    </xf>
    <xf numFmtId="0" fontId="0" fillId="0" borderId="71" xfId="0" applyFill="1" applyBorder="1" applyAlignment="1">
      <alignment horizontal="center" vertical="top" wrapText="1"/>
    </xf>
    <xf numFmtId="171" fontId="0" fillId="0" borderId="71" xfId="0" applyNumberFormat="1" applyBorder="1" applyAlignment="1">
      <alignment horizontal="center" vertical="top"/>
    </xf>
    <xf numFmtId="14" fontId="0" fillId="0" borderId="71" xfId="0" applyNumberFormat="1" applyBorder="1" applyAlignment="1">
      <alignment horizontal="center" vertical="top"/>
    </xf>
    <xf numFmtId="0" fontId="0" fillId="0" borderId="71" xfId="0" applyFont="1" applyBorder="1" applyAlignment="1">
      <alignment horizontal="center" vertical="top" wrapText="1"/>
    </xf>
    <xf numFmtId="0" fontId="0" fillId="0" borderId="71" xfId="0" applyFont="1" applyFill="1" applyBorder="1" applyAlignment="1">
      <alignment horizontal="center" vertical="top"/>
    </xf>
    <xf numFmtId="0" fontId="0" fillId="0" borderId="46" xfId="0" applyFont="1" applyFill="1" applyBorder="1" applyAlignment="1">
      <alignment horizontal="center" vertical="top" wrapText="1"/>
    </xf>
    <xf numFmtId="0" fontId="0" fillId="0" borderId="46" xfId="0" applyFont="1" applyBorder="1" applyAlignment="1">
      <alignment horizontal="center" vertical="top"/>
    </xf>
    <xf numFmtId="171" fontId="0" fillId="0" borderId="71" xfId="0" applyNumberFormat="1" applyFont="1" applyBorder="1" applyAlignment="1">
      <alignment horizontal="center" vertical="top"/>
    </xf>
    <xf numFmtId="0" fontId="0" fillId="2" borderId="71" xfId="0" applyFont="1" applyFill="1" applyBorder="1" applyAlignment="1">
      <alignment horizontal="center" vertical="top" wrapText="1"/>
    </xf>
    <xf numFmtId="4" fontId="0" fillId="0" borderId="22" xfId="0" applyNumberFormat="1" applyBorder="1" applyAlignment="1">
      <alignment horizontal="center" vertical="top"/>
    </xf>
    <xf numFmtId="0" fontId="0" fillId="9" borderId="22" xfId="0" applyFill="1" applyBorder="1" applyAlignment="1">
      <alignment horizontal="center" vertical="top" wrapText="1"/>
    </xf>
    <xf numFmtId="0" fontId="0" fillId="14" borderId="22" xfId="0" applyFill="1" applyBorder="1" applyAlignment="1">
      <alignment horizontal="center" vertical="top"/>
    </xf>
    <xf numFmtId="2" fontId="17" fillId="0" borderId="22" xfId="0" applyNumberFormat="1" applyFont="1" applyFill="1" applyBorder="1" applyAlignment="1">
      <alignment horizontal="center" vertical="top" wrapText="1"/>
    </xf>
    <xf numFmtId="0" fontId="32" fillId="0" borderId="22" xfId="0" applyFont="1" applyFill="1" applyBorder="1" applyAlignment="1">
      <alignment horizontal="center" vertical="top" wrapText="1"/>
    </xf>
    <xf numFmtId="171" fontId="0" fillId="14" borderId="22" xfId="0" applyNumberFormat="1" applyFont="1" applyFill="1" applyBorder="1" applyAlignment="1">
      <alignment horizontal="center" vertical="top"/>
    </xf>
    <xf numFmtId="3" fontId="0" fillId="0" borderId="22" xfId="0" applyNumberFormat="1" applyBorder="1" applyAlignment="1">
      <alignment horizontal="center" vertical="top"/>
    </xf>
    <xf numFmtId="0" fontId="0" fillId="0" borderId="0" xfId="0" applyFont="1" applyFill="1" applyBorder="1" applyAlignment="1">
      <alignment horizontal="center" vertical="top" wrapText="1"/>
    </xf>
    <xf numFmtId="0" fontId="0" fillId="0" borderId="0" xfId="0" applyBorder="1" applyAlignment="1">
      <alignment horizontal="center" vertical="top" wrapText="1"/>
    </xf>
    <xf numFmtId="171" fontId="0" fillId="0" borderId="0" xfId="0" applyNumberFormat="1" applyBorder="1" applyAlignment="1">
      <alignment horizontal="center" vertical="top"/>
    </xf>
    <xf numFmtId="14" fontId="0" fillId="0" borderId="0" xfId="0" applyNumberFormat="1" applyBorder="1" applyAlignment="1">
      <alignment horizontal="center" vertical="top"/>
    </xf>
    <xf numFmtId="0" fontId="0" fillId="0" borderId="0" xfId="0" applyFill="1" applyBorder="1" applyAlignment="1">
      <alignment horizontal="center" vertical="top"/>
    </xf>
    <xf numFmtId="0" fontId="0" fillId="0" borderId="0" xfId="0" applyFill="1" applyBorder="1" applyAlignment="1">
      <alignment horizontal="center" vertical="top" wrapText="1"/>
    </xf>
    <xf numFmtId="0" fontId="0" fillId="0" borderId="0" xfId="0" applyBorder="1" applyAlignment="1">
      <alignment horizontal="center" vertical="top"/>
    </xf>
    <xf numFmtId="0" fontId="0" fillId="0" borderId="0" xfId="0" applyBorder="1" applyAlignment="1">
      <alignment vertical="top"/>
    </xf>
    <xf numFmtId="0" fontId="7" fillId="0" borderId="22" xfId="0" applyFont="1" applyBorder="1" applyAlignment="1">
      <alignment vertical="center" wrapText="1"/>
    </xf>
    <xf numFmtId="0" fontId="7" fillId="8" borderId="22" xfId="0" applyFont="1" applyFill="1" applyBorder="1" applyAlignment="1">
      <alignment horizontal="center"/>
    </xf>
    <xf numFmtId="0" fontId="0" fillId="0" borderId="23" xfId="0" applyBorder="1" applyAlignment="1">
      <alignment wrapText="1"/>
    </xf>
    <xf numFmtId="0" fontId="7" fillId="7" borderId="22" xfId="0" applyFont="1" applyFill="1" applyBorder="1" applyAlignment="1">
      <alignment horizontal="center"/>
    </xf>
    <xf numFmtId="165" fontId="0" fillId="0" borderId="4" xfId="12" applyNumberFormat="1" applyFont="1" applyBorder="1" applyAlignment="1">
      <alignment horizontal="center" vertical="center"/>
    </xf>
    <xf numFmtId="0" fontId="0" fillId="0" borderId="22" xfId="0" applyBorder="1" applyAlignment="1">
      <alignment horizontal="center"/>
    </xf>
    <xf numFmtId="0" fontId="7" fillId="0" borderId="22" xfId="0" applyFont="1" applyBorder="1" applyAlignment="1">
      <alignment horizontal="center"/>
    </xf>
    <xf numFmtId="0" fontId="35" fillId="2" borderId="22" xfId="0" applyFont="1" applyFill="1" applyBorder="1" applyAlignment="1">
      <alignment horizontal="left" vertical="top"/>
    </xf>
    <xf numFmtId="0" fontId="7" fillId="0" borderId="22" xfId="0" applyFont="1" applyBorder="1" applyAlignment="1">
      <alignment horizontal="left"/>
    </xf>
    <xf numFmtId="0" fontId="35" fillId="2" borderId="22" xfId="0" applyFont="1" applyFill="1" applyBorder="1" applyAlignment="1">
      <alignment horizontal="center" vertical="top"/>
    </xf>
    <xf numFmtId="43" fontId="33" fillId="10" borderId="22" xfId="1" applyNumberFormat="1" applyFont="1" applyFill="1" applyBorder="1" applyAlignment="1">
      <alignment horizontal="center" vertical="top" wrapText="1"/>
    </xf>
    <xf numFmtId="0" fontId="27" fillId="7" borderId="22" xfId="4" applyFont="1" applyFill="1" applyBorder="1" applyAlignment="1">
      <alignment horizontal="center" vertical="top" wrapText="1"/>
    </xf>
    <xf numFmtId="0" fontId="34" fillId="2" borderId="22" xfId="0" applyFont="1" applyFill="1" applyBorder="1" applyAlignment="1">
      <alignment horizontal="center" vertical="center"/>
    </xf>
    <xf numFmtId="0" fontId="27" fillId="2" borderId="22" xfId="0" applyFont="1" applyFill="1" applyBorder="1" applyAlignment="1">
      <alignment horizontal="center" vertical="center"/>
    </xf>
    <xf numFmtId="14" fontId="34" fillId="0" borderId="22" xfId="0" applyNumberFormat="1" applyFont="1" applyBorder="1" applyAlignment="1">
      <alignment horizontal="center" vertical="center"/>
    </xf>
    <xf numFmtId="0" fontId="0" fillId="0" borderId="22" xfId="0" applyBorder="1" applyAlignment="1">
      <alignment horizontal="left" vertical="top" wrapText="1"/>
    </xf>
    <xf numFmtId="0" fontId="37" fillId="0" borderId="0" xfId="0" applyFont="1"/>
    <xf numFmtId="0" fontId="39" fillId="0" borderId="0" xfId="0" applyFont="1"/>
    <xf numFmtId="0" fontId="37" fillId="0" borderId="0" xfId="0" applyFont="1" applyFill="1"/>
    <xf numFmtId="166" fontId="37" fillId="0" borderId="0" xfId="1" applyNumberFormat="1" applyFont="1" applyFill="1" applyAlignment="1">
      <alignment horizontal="center"/>
    </xf>
    <xf numFmtId="0" fontId="36" fillId="0" borderId="0" xfId="0" applyFont="1" applyAlignment="1">
      <alignment horizontal="left"/>
    </xf>
    <xf numFmtId="0" fontId="37" fillId="0" borderId="0" xfId="0" applyFont="1" applyAlignment="1">
      <alignment horizontal="center"/>
    </xf>
    <xf numFmtId="0" fontId="37" fillId="0" borderId="0" xfId="0" applyFont="1" applyBorder="1"/>
    <xf numFmtId="0" fontId="36" fillId="0" borderId="0" xfId="0" applyFont="1"/>
    <xf numFmtId="0" fontId="37" fillId="0" borderId="0" xfId="0" applyFont="1" applyAlignment="1">
      <alignment wrapText="1"/>
    </xf>
    <xf numFmtId="166" fontId="37" fillId="0" borderId="0" xfId="1" applyNumberFormat="1" applyFont="1" applyFill="1"/>
    <xf numFmtId="0" fontId="37" fillId="0" borderId="0" xfId="0" applyFont="1" applyFill="1" applyBorder="1" applyAlignment="1"/>
    <xf numFmtId="0" fontId="37" fillId="0" borderId="20" xfId="0" applyFont="1" applyFill="1" applyBorder="1" applyAlignment="1"/>
    <xf numFmtId="0" fontId="37" fillId="0" borderId="22" xfId="0" applyFont="1" applyBorder="1" applyAlignment="1">
      <alignment horizontal="left" vertical="top"/>
    </xf>
    <xf numFmtId="0" fontId="37" fillId="0" borderId="22" xfId="0" applyFont="1" applyBorder="1" applyAlignment="1">
      <alignment horizontal="left" vertical="top" wrapText="1"/>
    </xf>
    <xf numFmtId="0" fontId="37" fillId="0" borderId="22" xfId="0" applyFont="1" applyBorder="1" applyAlignment="1">
      <alignment vertical="top" wrapText="1"/>
    </xf>
    <xf numFmtId="0" fontId="37" fillId="0" borderId="22" xfId="0" applyFont="1" applyBorder="1" applyAlignment="1">
      <alignment vertical="top"/>
    </xf>
    <xf numFmtId="0" fontId="37" fillId="0" borderId="22" xfId="0" applyFont="1" applyBorder="1" applyAlignment="1">
      <alignment horizontal="left"/>
    </xf>
    <xf numFmtId="0" fontId="37" fillId="0" borderId="22" xfId="0" applyFont="1" applyBorder="1" applyAlignment="1">
      <alignment horizontal="center"/>
    </xf>
    <xf numFmtId="0" fontId="37" fillId="0" borderId="22" xfId="0" applyFont="1" applyBorder="1" applyAlignment="1">
      <alignment wrapText="1"/>
    </xf>
    <xf numFmtId="0" fontId="37" fillId="0" borderId="0" xfId="0" applyFont="1" applyAlignment="1">
      <alignment horizontal="left"/>
    </xf>
    <xf numFmtId="0" fontId="37" fillId="0" borderId="22" xfId="0" applyFont="1" applyBorder="1" applyAlignment="1">
      <alignment horizontal="left" wrapText="1"/>
    </xf>
    <xf numFmtId="0" fontId="37" fillId="0" borderId="22" xfId="0" applyFont="1" applyFill="1" applyBorder="1" applyAlignment="1">
      <alignment horizontal="left" wrapText="1"/>
    </xf>
    <xf numFmtId="0" fontId="37" fillId="0" borderId="22" xfId="0" applyFont="1" applyBorder="1" applyAlignment="1">
      <alignment horizontal="center" vertical="top"/>
    </xf>
    <xf numFmtId="0" fontId="37" fillId="0" borderId="22" xfId="0" applyFont="1" applyFill="1" applyBorder="1" applyAlignment="1">
      <alignment horizontal="left" vertical="top" wrapText="1"/>
    </xf>
    <xf numFmtId="167" fontId="36" fillId="0" borderId="0" xfId="2" applyNumberFormat="1" applyFont="1" applyFill="1" applyAlignment="1">
      <alignment horizontal="right" wrapText="1"/>
    </xf>
    <xf numFmtId="164" fontId="37" fillId="0" borderId="0" xfId="13" applyFont="1"/>
    <xf numFmtId="0" fontId="36" fillId="0" borderId="22" xfId="0" applyFont="1" applyBorder="1" applyAlignment="1">
      <alignment horizontal="center"/>
    </xf>
    <xf numFmtId="0" fontId="41" fillId="0" borderId="0" xfId="0" applyFont="1" applyFill="1" applyBorder="1" applyAlignment="1">
      <alignment vertical="top"/>
    </xf>
    <xf numFmtId="0" fontId="37" fillId="0" borderId="22" xfId="0" applyFont="1" applyBorder="1" applyAlignment="1">
      <alignment horizontal="center" wrapText="1"/>
    </xf>
    <xf numFmtId="0" fontId="37" fillId="0" borderId="48" xfId="0" applyFont="1" applyBorder="1" applyAlignment="1">
      <alignment horizontal="center" vertical="top" wrapText="1"/>
    </xf>
    <xf numFmtId="0" fontId="44" fillId="0" borderId="50" xfId="0" applyFont="1" applyBorder="1" applyAlignment="1">
      <alignment horizontal="center" vertical="top"/>
    </xf>
    <xf numFmtId="0" fontId="37" fillId="0" borderId="6" xfId="0" applyFont="1" applyBorder="1" applyAlignment="1">
      <alignment horizontal="center" vertical="top" wrapText="1"/>
    </xf>
    <xf numFmtId="0" fontId="44" fillId="0" borderId="2" xfId="0" applyFont="1" applyBorder="1" applyAlignment="1">
      <alignment horizontal="center" vertical="top"/>
    </xf>
    <xf numFmtId="0" fontId="37" fillId="0" borderId="0" xfId="0" applyFont="1" applyAlignment="1">
      <alignment horizontal="center" vertical="top"/>
    </xf>
    <xf numFmtId="0" fontId="37" fillId="0" borderId="0" xfId="0" applyFont="1" applyAlignment="1">
      <alignment vertical="top"/>
    </xf>
    <xf numFmtId="0" fontId="41" fillId="0" borderId="22" xfId="0" applyFont="1" applyBorder="1" applyAlignment="1">
      <alignment vertical="top" wrapText="1"/>
    </xf>
    <xf numFmtId="0" fontId="41" fillId="0" borderId="22" xfId="0" applyFont="1" applyBorder="1" applyAlignment="1">
      <alignment vertical="top"/>
    </xf>
    <xf numFmtId="0" fontId="36" fillId="0" borderId="0" xfId="0" applyFont="1" applyAlignment="1">
      <alignment vertical="top"/>
    </xf>
    <xf numFmtId="0" fontId="37" fillId="0" borderId="48" xfId="0" applyFont="1" applyBorder="1" applyAlignment="1">
      <alignment horizontal="center"/>
    </xf>
    <xf numFmtId="0" fontId="44" fillId="0" borderId="49" xfId="0" applyFont="1" applyBorder="1" applyAlignment="1">
      <alignment horizontal="center"/>
    </xf>
    <xf numFmtId="0" fontId="37" fillId="0" borderId="73" xfId="0" applyFont="1" applyBorder="1" applyAlignment="1">
      <alignment horizontal="left"/>
    </xf>
    <xf numFmtId="0" fontId="37" fillId="0" borderId="0" xfId="0" applyFont="1" applyAlignment="1">
      <alignment horizontal="left" vertical="top"/>
    </xf>
    <xf numFmtId="0" fontId="37" fillId="0" borderId="0" xfId="0" applyFont="1" applyBorder="1" applyAlignment="1">
      <alignment vertical="top" wrapText="1"/>
    </xf>
    <xf numFmtId="0" fontId="37" fillId="0" borderId="72" xfId="0" applyFont="1" applyBorder="1" applyAlignment="1">
      <alignment vertical="top"/>
    </xf>
    <xf numFmtId="0" fontId="36" fillId="0" borderId="22" xfId="0" applyFont="1" applyFill="1" applyBorder="1" applyAlignment="1">
      <alignment horizontal="left" wrapText="1"/>
    </xf>
    <xf numFmtId="0" fontId="37" fillId="0" borderId="22" xfId="0" applyFont="1" applyBorder="1" applyAlignment="1">
      <alignment horizontal="center" vertical="top"/>
    </xf>
    <xf numFmtId="0" fontId="37" fillId="0" borderId="22" xfId="0" applyFont="1" applyBorder="1" applyAlignment="1">
      <alignment horizontal="left"/>
    </xf>
    <xf numFmtId="0" fontId="37" fillId="0" borderId="22" xfId="0" applyFont="1" applyBorder="1" applyAlignment="1">
      <alignment vertical="top"/>
    </xf>
    <xf numFmtId="0" fontId="37" fillId="0" borderId="74" xfId="0" applyFont="1" applyBorder="1" applyAlignment="1">
      <alignment vertical="top" wrapText="1"/>
    </xf>
    <xf numFmtId="0" fontId="39" fillId="0" borderId="0" xfId="0" applyFont="1" applyAlignment="1">
      <alignment horizontal="center" vertical="center"/>
    </xf>
    <xf numFmtId="0" fontId="40" fillId="0" borderId="0" xfId="0" applyFont="1" applyBorder="1" applyAlignment="1">
      <alignment horizontal="center"/>
    </xf>
    <xf numFmtId="0" fontId="39" fillId="0" borderId="0" xfId="0" applyFont="1" applyAlignment="1">
      <alignment horizontal="center"/>
    </xf>
    <xf numFmtId="0" fontId="37" fillId="0" borderId="21" xfId="0" applyFont="1" applyFill="1" applyBorder="1" applyAlignment="1">
      <alignment horizontal="left" vertical="top"/>
    </xf>
    <xf numFmtId="0" fontId="36" fillId="0" borderId="66" xfId="0" quotePrefix="1" applyFont="1" applyBorder="1" applyAlignment="1">
      <alignment horizontal="center" vertical="center"/>
    </xf>
    <xf numFmtId="0" fontId="37" fillId="0" borderId="0" xfId="0" applyFont="1" applyFill="1" applyAlignment="1">
      <alignment wrapText="1"/>
    </xf>
    <xf numFmtId="0" fontId="39" fillId="0" borderId="0" xfId="0" applyFont="1" applyAlignment="1">
      <alignment wrapText="1"/>
    </xf>
    <xf numFmtId="167" fontId="36" fillId="0" borderId="0" xfId="2" applyNumberFormat="1" applyFont="1" applyFill="1" applyAlignment="1">
      <alignment horizontal="center" wrapText="1"/>
    </xf>
    <xf numFmtId="0" fontId="37" fillId="0" borderId="0" xfId="0" applyFont="1" applyAlignment="1">
      <alignment horizontal="center" wrapText="1"/>
    </xf>
    <xf numFmtId="0" fontId="39" fillId="0" borderId="0" xfId="0" applyFont="1" applyAlignment="1">
      <alignment horizontal="center" vertical="center" wrapText="1"/>
    </xf>
    <xf numFmtId="0" fontId="49" fillId="2" borderId="0" xfId="0" applyFont="1" applyFill="1" applyBorder="1" applyAlignment="1">
      <alignment horizontal="center"/>
    </xf>
    <xf numFmtId="0" fontId="49" fillId="2" borderId="0" xfId="0" applyFont="1" applyFill="1" applyAlignment="1">
      <alignment horizontal="center"/>
    </xf>
    <xf numFmtId="0" fontId="48" fillId="2" borderId="74" xfId="0" applyFont="1" applyFill="1" applyBorder="1" applyAlignment="1">
      <alignment horizontal="center"/>
    </xf>
    <xf numFmtId="0" fontId="45" fillId="3" borderId="2" xfId="0" applyFont="1" applyFill="1" applyBorder="1" applyAlignment="1">
      <alignment horizontal="center" vertical="center"/>
    </xf>
    <xf numFmtId="0" fontId="39" fillId="0" borderId="15" xfId="0" applyFont="1" applyBorder="1" applyAlignment="1">
      <alignment horizontal="center" vertical="center"/>
    </xf>
    <xf numFmtId="0" fontId="39" fillId="0" borderId="16" xfId="0" applyFont="1" applyBorder="1" applyAlignment="1">
      <alignment horizontal="center" vertical="center"/>
    </xf>
    <xf numFmtId="0" fontId="39" fillId="0" borderId="8" xfId="0" applyFont="1" applyBorder="1" applyAlignment="1">
      <alignment horizontal="center" vertical="center"/>
    </xf>
    <xf numFmtId="0" fontId="39" fillId="0" borderId="11" xfId="0" applyFont="1" applyBorder="1" applyAlignment="1">
      <alignment horizontal="center" vertical="center"/>
    </xf>
    <xf numFmtId="0" fontId="45" fillId="3" borderId="2" xfId="0" applyFont="1" applyFill="1" applyBorder="1" applyAlignment="1">
      <alignment horizontal="center" vertical="center" wrapText="1"/>
    </xf>
    <xf numFmtId="0" fontId="39" fillId="0" borderId="15" xfId="0" applyFont="1" applyBorder="1" applyAlignment="1">
      <alignment vertical="center" wrapText="1"/>
    </xf>
    <xf numFmtId="0" fontId="39" fillId="0" borderId="16" xfId="0" applyFont="1" applyBorder="1" applyAlignment="1">
      <alignment vertical="center" wrapText="1"/>
    </xf>
    <xf numFmtId="0" fontId="47" fillId="0" borderId="16" xfId="0" applyFont="1" applyBorder="1" applyAlignment="1">
      <alignment vertical="center" wrapText="1"/>
    </xf>
    <xf numFmtId="0" fontId="39" fillId="0" borderId="8" xfId="0" applyFont="1" applyBorder="1" applyAlignment="1">
      <alignment vertical="center" wrapText="1"/>
    </xf>
    <xf numFmtId="0" fontId="39" fillId="0" borderId="16" xfId="0" applyFont="1" applyBorder="1" applyAlignment="1">
      <alignment horizontal="left" vertical="center" wrapText="1"/>
    </xf>
    <xf numFmtId="0" fontId="47" fillId="0" borderId="8" xfId="0" applyFont="1" applyBorder="1" applyAlignment="1">
      <alignment vertical="center" wrapText="1"/>
    </xf>
    <xf numFmtId="0" fontId="47" fillId="0" borderId="11" xfId="0" applyFont="1" applyBorder="1" applyAlignment="1">
      <alignment vertical="center" wrapText="1"/>
    </xf>
    <xf numFmtId="0" fontId="39" fillId="0" borderId="15" xfId="0" applyFont="1" applyBorder="1" applyAlignment="1">
      <alignment horizontal="center"/>
    </xf>
    <xf numFmtId="0" fontId="39" fillId="0" borderId="8" xfId="0" applyFont="1" applyBorder="1" applyAlignment="1">
      <alignment horizontal="center" wrapText="1"/>
    </xf>
    <xf numFmtId="0" fontId="39" fillId="0" borderId="8" xfId="0" applyFont="1" applyBorder="1" applyAlignment="1">
      <alignment horizontal="center"/>
    </xf>
    <xf numFmtId="0" fontId="39" fillId="0" borderId="8" xfId="0" applyFont="1" applyBorder="1" applyAlignment="1">
      <alignment horizontal="center" vertical="center" wrapText="1"/>
    </xf>
    <xf numFmtId="0" fontId="39" fillId="0" borderId="16" xfId="0" applyFont="1" applyBorder="1" applyAlignment="1">
      <alignment horizontal="center" wrapText="1"/>
    </xf>
    <xf numFmtId="0" fontId="39" fillId="0" borderId="11" xfId="0" applyFont="1" applyBorder="1" applyAlignment="1">
      <alignment horizontal="center" wrapText="1"/>
    </xf>
    <xf numFmtId="0" fontId="39" fillId="0" borderId="24" xfId="0" applyFont="1" applyBorder="1" applyAlignment="1">
      <alignment horizontal="center"/>
    </xf>
    <xf numFmtId="0" fontId="39" fillId="0" borderId="16" xfId="0" applyFont="1" applyBorder="1" applyAlignment="1">
      <alignment horizontal="center"/>
    </xf>
    <xf numFmtId="0" fontId="39" fillId="0" borderId="8" xfId="0" quotePrefix="1" applyFont="1" applyBorder="1" applyAlignment="1">
      <alignment horizontal="center" vertical="center"/>
    </xf>
    <xf numFmtId="0" fontId="39" fillId="0" borderId="1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11" xfId="0" quotePrefix="1" applyFont="1" applyBorder="1" applyAlignment="1">
      <alignment horizontal="center" vertical="center"/>
    </xf>
    <xf numFmtId="0" fontId="46" fillId="3" borderId="2" xfId="0" applyFont="1" applyFill="1" applyBorder="1" applyAlignment="1">
      <alignment horizontal="center" vertical="center"/>
    </xf>
    <xf numFmtId="0" fontId="39" fillId="0" borderId="15" xfId="0" quotePrefix="1" applyFont="1" applyBorder="1" applyAlignment="1">
      <alignment horizontal="center" vertical="center"/>
    </xf>
    <xf numFmtId="0" fontId="46" fillId="3" borderId="2" xfId="0" applyFont="1" applyFill="1" applyBorder="1" applyAlignment="1">
      <alignment horizontal="center" vertical="center" wrapText="1"/>
    </xf>
    <xf numFmtId="166" fontId="39" fillId="0" borderId="15" xfId="0" quotePrefix="1" applyNumberFormat="1" applyFont="1" applyBorder="1" applyAlignment="1">
      <alignment horizontal="center" vertical="center" wrapText="1"/>
    </xf>
    <xf numFmtId="0" fontId="39" fillId="0" borderId="15" xfId="0" applyFont="1" applyBorder="1" applyAlignment="1">
      <alignment horizontal="center" wrapText="1"/>
    </xf>
    <xf numFmtId="0" fontId="39" fillId="0" borderId="24" xfId="0" applyFont="1" applyBorder="1" applyAlignment="1">
      <alignment horizontal="center" vertical="center"/>
    </xf>
    <xf numFmtId="0" fontId="39" fillId="0" borderId="24" xfId="0" applyFont="1" applyBorder="1" applyAlignment="1">
      <alignment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wrapText="1"/>
    </xf>
    <xf numFmtId="0" fontId="39" fillId="0" borderId="11" xfId="0" applyFont="1" applyBorder="1" applyAlignment="1">
      <alignment vertical="center" wrapText="1"/>
    </xf>
    <xf numFmtId="0" fontId="39" fillId="0" borderId="30" xfId="0" applyFont="1" applyBorder="1" applyAlignment="1">
      <alignment horizontal="center" vertical="center"/>
    </xf>
    <xf numFmtId="0" fontId="39" fillId="0" borderId="30" xfId="0" applyFont="1" applyBorder="1" applyAlignment="1">
      <alignment vertical="center" wrapText="1"/>
    </xf>
    <xf numFmtId="0" fontId="39" fillId="0" borderId="63" xfId="0" applyFont="1" applyBorder="1" applyAlignment="1">
      <alignment horizontal="center" wrapText="1"/>
    </xf>
    <xf numFmtId="0" fontId="39" fillId="0" borderId="63" xfId="0" applyFont="1" applyBorder="1" applyAlignment="1">
      <alignment horizontal="center" vertical="center"/>
    </xf>
    <xf numFmtId="0" fontId="39" fillId="0" borderId="30" xfId="0" applyFont="1" applyBorder="1" applyAlignment="1">
      <alignment horizontal="center" vertical="center" wrapText="1"/>
    </xf>
    <xf numFmtId="0" fontId="39" fillId="0" borderId="63" xfId="0" quotePrefix="1" applyFont="1" applyBorder="1" applyAlignment="1">
      <alignment horizontal="center" vertical="center"/>
    </xf>
    <xf numFmtId="0" fontId="39" fillId="0" borderId="30" xfId="0" applyFont="1" applyBorder="1" applyAlignment="1">
      <alignment horizontal="center" wrapText="1"/>
    </xf>
    <xf numFmtId="0" fontId="39" fillId="0" borderId="63" xfId="0" applyFont="1" applyBorder="1" applyAlignment="1">
      <alignment vertical="center" wrapText="1"/>
    </xf>
    <xf numFmtId="0" fontId="39" fillId="0" borderId="63" xfId="0" applyFont="1" applyBorder="1" applyAlignment="1">
      <alignment horizontal="center"/>
    </xf>
    <xf numFmtId="0" fontId="39" fillId="0" borderId="63" xfId="0" applyFont="1" applyBorder="1" applyAlignment="1">
      <alignment horizontal="center" vertical="center" wrapText="1"/>
    </xf>
    <xf numFmtId="0" fontId="42" fillId="0" borderId="0" xfId="0" applyFont="1"/>
    <xf numFmtId="0" fontId="37" fillId="0" borderId="0" xfId="0" applyFont="1" applyAlignment="1">
      <alignment vertical="top" wrapText="1"/>
    </xf>
    <xf numFmtId="0" fontId="36" fillId="0" borderId="0" xfId="0" applyFont="1" applyAlignment="1">
      <alignment horizontal="left" vertical="top" wrapText="1"/>
    </xf>
    <xf numFmtId="0" fontId="37" fillId="0" borderId="0" xfId="0" applyFont="1" applyAlignment="1">
      <alignment horizontal="left" vertical="top" wrapText="1"/>
    </xf>
    <xf numFmtId="14" fontId="37" fillId="0" borderId="21" xfId="0" applyNumberFormat="1" applyFont="1" applyFill="1" applyBorder="1" applyAlignment="1">
      <alignment horizontal="left" vertical="top"/>
    </xf>
    <xf numFmtId="1" fontId="37" fillId="0" borderId="0" xfId="0" applyNumberFormat="1" applyFont="1" applyAlignment="1">
      <alignment horizontal="left"/>
    </xf>
    <xf numFmtId="1" fontId="37" fillId="0" borderId="0" xfId="1" applyNumberFormat="1" applyFont="1" applyFill="1" applyAlignment="1">
      <alignment horizontal="left"/>
    </xf>
    <xf numFmtId="1" fontId="37" fillId="0" borderId="18" xfId="0" applyNumberFormat="1" applyFont="1" applyFill="1" applyBorder="1" applyAlignment="1">
      <alignment horizontal="left"/>
    </xf>
    <xf numFmtId="1" fontId="37" fillId="0" borderId="0" xfId="0" applyNumberFormat="1" applyFont="1" applyFill="1" applyBorder="1" applyAlignment="1">
      <alignment horizontal="left"/>
    </xf>
    <xf numFmtId="1" fontId="37" fillId="0" borderId="9" xfId="0" applyNumberFormat="1" applyFont="1" applyFill="1" applyBorder="1" applyAlignment="1">
      <alignment horizontal="left"/>
    </xf>
    <xf numFmtId="1" fontId="37" fillId="0" borderId="21" xfId="0" applyNumberFormat="1" applyFont="1" applyFill="1" applyBorder="1" applyAlignment="1">
      <alignment horizontal="left"/>
    </xf>
    <xf numFmtId="1" fontId="27" fillId="0" borderId="22" xfId="12" applyNumberFormat="1" applyFont="1" applyFill="1" applyBorder="1" applyAlignment="1">
      <alignment horizontal="left" vertical="center" wrapText="1"/>
    </xf>
    <xf numFmtId="0" fontId="27" fillId="0" borderId="22" xfId="0" applyFont="1" applyFill="1" applyBorder="1" applyAlignment="1">
      <alignment horizontal="left" vertical="top" wrapText="1"/>
    </xf>
    <xf numFmtId="1" fontId="27" fillId="0" borderId="22" xfId="12" applyNumberFormat="1" applyFont="1" applyFill="1" applyBorder="1" applyAlignment="1">
      <alignment horizontal="left" vertical="center"/>
    </xf>
    <xf numFmtId="167" fontId="27" fillId="0" borderId="22" xfId="12" applyNumberFormat="1" applyFont="1" applyFill="1" applyBorder="1" applyAlignment="1">
      <alignment horizontal="center" vertical="center" wrapText="1"/>
    </xf>
    <xf numFmtId="0" fontId="10" fillId="4" borderId="63" xfId="0" applyFont="1" applyFill="1" applyBorder="1" applyAlignment="1">
      <alignment horizontal="center" vertical="center"/>
    </xf>
    <xf numFmtId="1" fontId="10" fillId="4" borderId="63" xfId="0" applyNumberFormat="1" applyFont="1" applyFill="1" applyBorder="1" applyAlignment="1">
      <alignment horizontal="left" vertical="center" wrapText="1"/>
    </xf>
    <xf numFmtId="0" fontId="10" fillId="4" borderId="63" xfId="0" applyFont="1" applyFill="1" applyBorder="1" applyAlignment="1">
      <alignment horizontal="center" vertical="center" wrapText="1"/>
    </xf>
    <xf numFmtId="170" fontId="10" fillId="4" borderId="63" xfId="13" applyNumberFormat="1" applyFont="1" applyFill="1" applyBorder="1" applyAlignment="1">
      <alignment horizontal="center" vertical="center" wrapText="1"/>
    </xf>
    <xf numFmtId="170" fontId="10" fillId="4" borderId="63" xfId="13" applyNumberFormat="1" applyFont="1" applyFill="1" applyBorder="1" applyAlignment="1">
      <alignment horizontal="left" vertical="top" wrapText="1"/>
    </xf>
    <xf numFmtId="1" fontId="0" fillId="0" borderId="8" xfId="13" applyNumberFormat="1" applyFont="1" applyBorder="1" applyAlignment="1">
      <alignment horizontal="left" vertical="center"/>
    </xf>
    <xf numFmtId="170" fontId="0" fillId="0" borderId="8" xfId="13" applyNumberFormat="1" applyFont="1" applyBorder="1" applyAlignment="1">
      <alignment horizontal="left" vertical="center"/>
    </xf>
    <xf numFmtId="1" fontId="0" fillId="0" borderId="8" xfId="13" applyNumberFormat="1" applyFont="1" applyBorder="1" applyAlignment="1">
      <alignment horizontal="left" vertical="top"/>
    </xf>
    <xf numFmtId="0" fontId="0" fillId="0" borderId="8" xfId="0" applyFont="1" applyBorder="1" applyAlignment="1">
      <alignment horizontal="center" vertical="center"/>
    </xf>
    <xf numFmtId="0" fontId="0" fillId="7" borderId="8" xfId="0" applyFont="1" applyFill="1" applyBorder="1" applyAlignment="1">
      <alignment horizontal="center" vertical="center"/>
    </xf>
    <xf numFmtId="0" fontId="27" fillId="7" borderId="22" xfId="0" applyFont="1" applyFill="1" applyBorder="1" applyAlignment="1">
      <alignment horizontal="left" vertical="top" wrapText="1"/>
    </xf>
    <xf numFmtId="1" fontId="27" fillId="7" borderId="22" xfId="12" applyNumberFormat="1" applyFont="1" applyFill="1" applyBorder="1" applyAlignment="1">
      <alignment horizontal="left" vertical="center" wrapText="1"/>
    </xf>
    <xf numFmtId="167" fontId="27" fillId="7" borderId="22" xfId="12" applyNumberFormat="1" applyFont="1" applyFill="1" applyBorder="1" applyAlignment="1">
      <alignment horizontal="center" vertical="center" wrapText="1"/>
    </xf>
    <xf numFmtId="1" fontId="0" fillId="7" borderId="8" xfId="13" applyNumberFormat="1" applyFont="1" applyFill="1" applyBorder="1" applyAlignment="1">
      <alignment horizontal="left" vertical="center"/>
    </xf>
    <xf numFmtId="170" fontId="0" fillId="7" borderId="8" xfId="13" applyNumberFormat="1" applyFont="1" applyFill="1" applyBorder="1" applyAlignment="1">
      <alignment horizontal="left" vertical="center"/>
    </xf>
    <xf numFmtId="1" fontId="0" fillId="7" borderId="8" xfId="13" applyNumberFormat="1" applyFont="1" applyFill="1" applyBorder="1" applyAlignment="1">
      <alignment horizontal="left" vertical="top"/>
    </xf>
    <xf numFmtId="1" fontId="27" fillId="0" borderId="22" xfId="0" applyNumberFormat="1" applyFont="1" applyFill="1" applyBorder="1" applyAlignment="1">
      <alignment horizontal="left" vertical="center" wrapText="1"/>
    </xf>
    <xf numFmtId="170" fontId="0" fillId="0" borderId="8" xfId="13" applyNumberFormat="1" applyFont="1" applyBorder="1" applyAlignment="1">
      <alignment horizontal="left"/>
    </xf>
    <xf numFmtId="167" fontId="27" fillId="0" borderId="22" xfId="12" applyNumberFormat="1" applyFont="1" applyFill="1" applyBorder="1" applyAlignment="1">
      <alignment horizontal="right" vertical="center"/>
    </xf>
    <xf numFmtId="172" fontId="27" fillId="0" borderId="22" xfId="0" applyNumberFormat="1" applyFont="1" applyFill="1" applyBorder="1" applyAlignment="1">
      <alignment vertical="center" wrapText="1"/>
    </xf>
    <xf numFmtId="1" fontId="27" fillId="7" borderId="22" xfId="12" applyNumberFormat="1" applyFont="1" applyFill="1" applyBorder="1" applyAlignment="1">
      <alignment horizontal="left" vertical="center"/>
    </xf>
    <xf numFmtId="167" fontId="27" fillId="7" borderId="22" xfId="12" applyNumberFormat="1" applyFont="1" applyFill="1" applyBorder="1" applyAlignment="1">
      <alignment horizontal="right" vertical="center"/>
    </xf>
    <xf numFmtId="0" fontId="27" fillId="0" borderId="22" xfId="0" applyFont="1" applyFill="1" applyBorder="1" applyAlignment="1">
      <alignment horizontal="left" vertical="center" wrapText="1"/>
    </xf>
    <xf numFmtId="0" fontId="7" fillId="0" borderId="2" xfId="0" applyFont="1" applyBorder="1" applyAlignment="1">
      <alignment horizontal="center"/>
    </xf>
    <xf numFmtId="0" fontId="7" fillId="0" borderId="2" xfId="0" applyFont="1" applyFill="1" applyBorder="1"/>
    <xf numFmtId="1" fontId="7" fillId="0" borderId="2" xfId="0" applyNumberFormat="1" applyFont="1" applyBorder="1" applyAlignment="1">
      <alignment horizontal="left"/>
    </xf>
    <xf numFmtId="170" fontId="7" fillId="0" borderId="2" xfId="0" applyNumberFormat="1" applyFont="1" applyBorder="1"/>
    <xf numFmtId="1" fontId="7" fillId="0" borderId="2" xfId="0" applyNumberFormat="1" applyFont="1" applyBorder="1" applyAlignment="1">
      <alignment horizontal="left" vertical="top"/>
    </xf>
    <xf numFmtId="0" fontId="3" fillId="0" borderId="0" xfId="0" applyFont="1" applyAlignment="1">
      <alignment horizontal="center"/>
    </xf>
    <xf numFmtId="0" fontId="2" fillId="0" borderId="0" xfId="0" applyFont="1" applyAlignment="1">
      <alignment horizontal="center"/>
    </xf>
    <xf numFmtId="0" fontId="2" fillId="0" borderId="18" xfId="0" applyFont="1" applyBorder="1"/>
    <xf numFmtId="0" fontId="2" fillId="0" borderId="9" xfId="0" applyFont="1" applyBorder="1"/>
    <xf numFmtId="0" fontId="37" fillId="0" borderId="19" xfId="0" applyFont="1" applyFill="1" applyBorder="1" applyAlignment="1">
      <alignment horizontal="left" vertical="top"/>
    </xf>
    <xf numFmtId="14" fontId="2" fillId="0" borderId="21" xfId="0" applyNumberFormat="1" applyFont="1" applyBorder="1" applyAlignment="1">
      <alignment horizontal="left" vertical="top"/>
    </xf>
    <xf numFmtId="14" fontId="37" fillId="0" borderId="5" xfId="0" applyNumberFormat="1" applyFont="1" applyFill="1" applyBorder="1" applyAlignment="1">
      <alignment horizontal="left" vertical="top"/>
    </xf>
    <xf numFmtId="0" fontId="2" fillId="0" borderId="22" xfId="0" applyFont="1" applyBorder="1" applyAlignment="1">
      <alignment horizontal="left" vertical="top"/>
    </xf>
    <xf numFmtId="0" fontId="2" fillId="0" borderId="22" xfId="0" applyFont="1" applyBorder="1" applyAlignment="1">
      <alignment horizontal="left" vertical="top" wrapText="1"/>
    </xf>
    <xf numFmtId="0" fontId="9" fillId="0" borderId="22" xfId="0" applyFont="1" applyBorder="1" applyAlignment="1">
      <alignment horizontal="left" vertical="top" wrapText="1"/>
    </xf>
    <xf numFmtId="0" fontId="3" fillId="0" borderId="22" xfId="0" applyFont="1" applyBorder="1" applyAlignment="1">
      <alignment horizontal="left" vertical="top"/>
    </xf>
    <xf numFmtId="0" fontId="41" fillId="0" borderId="0" xfId="0" applyFont="1"/>
    <xf numFmtId="0" fontId="41" fillId="0" borderId="0" xfId="0" applyFont="1" applyAlignment="1">
      <alignment vertical="center"/>
    </xf>
    <xf numFmtId="0" fontId="37" fillId="0" borderId="0" xfId="0" applyFont="1" applyFill="1" applyAlignment="1">
      <alignment horizontal="center" vertical="top"/>
    </xf>
    <xf numFmtId="0" fontId="37" fillId="0" borderId="0" xfId="0" applyFont="1" applyFill="1" applyAlignment="1">
      <alignment vertical="center" wrapText="1"/>
    </xf>
    <xf numFmtId="0" fontId="53" fillId="0" borderId="0" xfId="0" applyFont="1" applyFill="1" applyAlignment="1">
      <alignment vertical="top"/>
    </xf>
    <xf numFmtId="0" fontId="37" fillId="0" borderId="15" xfId="0" applyFont="1" applyFill="1" applyBorder="1" applyAlignment="1">
      <alignment horizontal="left" vertical="top"/>
    </xf>
    <xf numFmtId="0" fontId="55" fillId="0" borderId="15" xfId="0" applyFont="1" applyFill="1" applyBorder="1" applyAlignment="1">
      <alignment horizontal="left" vertical="top" wrapText="1"/>
    </xf>
    <xf numFmtId="0" fontId="37" fillId="0" borderId="8" xfId="0" applyFont="1" applyFill="1" applyBorder="1" applyAlignment="1">
      <alignment horizontal="left" vertical="top"/>
    </xf>
    <xf numFmtId="0" fontId="36" fillId="0" borderId="8" xfId="0" applyFont="1" applyFill="1" applyBorder="1" applyAlignment="1">
      <alignment horizontal="left" vertical="top" wrapText="1"/>
    </xf>
    <xf numFmtId="0" fontId="37" fillId="0" borderId="8" xfId="0" applyFont="1" applyFill="1" applyBorder="1" applyAlignment="1">
      <alignment horizontal="left" vertical="top" wrapText="1"/>
    </xf>
    <xf numFmtId="1" fontId="53" fillId="0" borderId="0" xfId="0" applyNumberFormat="1" applyFont="1" applyFill="1" applyAlignment="1">
      <alignment vertical="top"/>
    </xf>
    <xf numFmtId="173" fontId="37" fillId="0" borderId="8" xfId="1" applyNumberFormat="1" applyFont="1" applyFill="1" applyBorder="1" applyAlignment="1">
      <alignment horizontal="left" vertical="top" wrapText="1"/>
    </xf>
    <xf numFmtId="173" fontId="36" fillId="0" borderId="8" xfId="1" applyNumberFormat="1" applyFont="1" applyFill="1" applyBorder="1" applyAlignment="1">
      <alignment horizontal="left" vertical="top" wrapText="1"/>
    </xf>
    <xf numFmtId="0" fontId="36" fillId="2" borderId="2" xfId="0" applyFont="1" applyFill="1" applyBorder="1" applyAlignment="1">
      <alignment horizontal="left" vertical="top"/>
    </xf>
    <xf numFmtId="173" fontId="36" fillId="2" borderId="2" xfId="1" applyNumberFormat="1" applyFont="1" applyFill="1" applyBorder="1" applyAlignment="1">
      <alignment horizontal="left" vertical="top" wrapText="1"/>
    </xf>
    <xf numFmtId="173" fontId="55" fillId="0" borderId="8" xfId="1" applyNumberFormat="1" applyFont="1" applyFill="1" applyBorder="1" applyAlignment="1">
      <alignment horizontal="left" vertical="top" wrapText="1"/>
    </xf>
    <xf numFmtId="173" fontId="37" fillId="0" borderId="0" xfId="1" applyNumberFormat="1" applyFont="1" applyFill="1" applyAlignment="1">
      <alignment horizontal="left" vertical="top" wrapText="1"/>
    </xf>
    <xf numFmtId="0" fontId="37" fillId="0" borderId="0" xfId="0" applyFont="1" applyFill="1" applyAlignment="1">
      <alignment vertical="top" wrapText="1"/>
    </xf>
    <xf numFmtId="0" fontId="41" fillId="0" borderId="22" xfId="0" applyFont="1" applyBorder="1" applyAlignment="1">
      <alignment horizontal="left"/>
    </xf>
    <xf numFmtId="0" fontId="38" fillId="0" borderId="22" xfId="0" applyFont="1" applyBorder="1" applyAlignment="1">
      <alignment horizontal="left"/>
    </xf>
    <xf numFmtId="0" fontId="41" fillId="0" borderId="0" xfId="16" applyFont="1" applyFill="1" applyAlignment="1">
      <alignment horizontal="left" vertical="top"/>
    </xf>
    <xf numFmtId="166" fontId="37" fillId="0" borderId="15" xfId="1" applyNumberFormat="1" applyFont="1" applyFill="1" applyBorder="1" applyAlignment="1">
      <alignment horizontal="left" vertical="top"/>
    </xf>
    <xf numFmtId="166" fontId="37" fillId="0" borderId="8" xfId="1" applyNumberFormat="1" applyFont="1" applyFill="1" applyBorder="1" applyAlignment="1">
      <alignment horizontal="left" vertical="top"/>
    </xf>
    <xf numFmtId="0" fontId="53" fillId="0" borderId="0" xfId="0" applyFont="1" applyFill="1" applyAlignment="1">
      <alignment horizontal="center" vertical="center"/>
    </xf>
    <xf numFmtId="0" fontId="36" fillId="2" borderId="2" xfId="0" applyFont="1" applyFill="1" applyBorder="1" applyAlignment="1">
      <alignment horizontal="center" vertical="center" wrapText="1"/>
    </xf>
    <xf numFmtId="166" fontId="36" fillId="2" borderId="2" xfId="1" applyNumberFormat="1" applyFont="1" applyFill="1" applyBorder="1" applyAlignment="1">
      <alignment horizontal="center" vertical="center" wrapText="1"/>
    </xf>
    <xf numFmtId="0" fontId="53" fillId="0" borderId="0" xfId="0" applyFont="1" applyFill="1" applyAlignment="1">
      <alignment horizontal="center" vertical="center" wrapText="1"/>
    </xf>
    <xf numFmtId="0" fontId="41" fillId="0" borderId="22" xfId="0" applyFont="1" applyBorder="1" applyAlignment="1">
      <alignment horizontal="center"/>
    </xf>
    <xf numFmtId="0" fontId="49" fillId="2" borderId="22" xfId="0" applyFont="1" applyFill="1" applyBorder="1" applyAlignment="1">
      <alignment horizontal="center" vertical="center" wrapText="1"/>
    </xf>
    <xf numFmtId="0" fontId="41" fillId="0" borderId="0" xfId="0" applyFont="1" applyAlignment="1">
      <alignment horizontal="center" vertical="center"/>
    </xf>
    <xf numFmtId="0" fontId="38" fillId="0" borderId="22" xfId="0" applyFont="1" applyBorder="1" applyAlignment="1">
      <alignment horizontal="center"/>
    </xf>
    <xf numFmtId="165" fontId="41" fillId="0" borderId="0" xfId="1" applyFont="1" applyFill="1" applyBorder="1" applyAlignment="1">
      <alignment horizontal="center" vertical="center"/>
    </xf>
    <xf numFmtId="166" fontId="37" fillId="0" borderId="38" xfId="1" applyNumberFormat="1" applyFont="1" applyFill="1" applyBorder="1" applyAlignment="1">
      <alignment vertical="top"/>
    </xf>
    <xf numFmtId="41" fontId="41" fillId="0" borderId="22" xfId="0" applyNumberFormat="1" applyFont="1" applyFill="1" applyBorder="1" applyAlignment="1">
      <alignment horizontal="left" vertical="top"/>
    </xf>
    <xf numFmtId="41" fontId="41" fillId="0" borderId="41" xfId="0" applyNumberFormat="1" applyFont="1" applyFill="1" applyBorder="1" applyAlignment="1">
      <alignment horizontal="left" vertical="top"/>
    </xf>
    <xf numFmtId="0" fontId="47" fillId="0" borderId="0" xfId="0" applyFont="1" applyBorder="1" applyAlignment="1">
      <alignment horizontal="left" vertical="top" wrapText="1"/>
    </xf>
    <xf numFmtId="0" fontId="37" fillId="0" borderId="0" xfId="0" applyFont="1" applyFill="1" applyAlignment="1">
      <alignment horizontal="left" vertical="top"/>
    </xf>
    <xf numFmtId="0" fontId="37" fillId="0" borderId="0" xfId="0" applyFont="1" applyFill="1" applyAlignment="1">
      <alignment horizontal="left" vertical="top" wrapText="1"/>
    </xf>
    <xf numFmtId="0" fontId="47" fillId="0" borderId="0" xfId="0" applyFont="1" applyAlignment="1">
      <alignment horizontal="left" vertical="top"/>
    </xf>
    <xf numFmtId="0" fontId="56" fillId="0" borderId="45" xfId="0" applyFont="1" applyFill="1" applyBorder="1" applyAlignment="1">
      <alignment horizontal="left" vertical="top" wrapText="1"/>
    </xf>
    <xf numFmtId="0" fontId="47" fillId="0" borderId="46" xfId="0" applyFont="1" applyFill="1" applyBorder="1" applyAlignment="1">
      <alignment horizontal="left" vertical="top"/>
    </xf>
    <xf numFmtId="0" fontId="47" fillId="0" borderId="46" xfId="0" applyFont="1" applyBorder="1" applyAlignment="1">
      <alignment horizontal="left" vertical="top"/>
    </xf>
    <xf numFmtId="0" fontId="47" fillId="0" borderId="47" xfId="0" applyFont="1" applyBorder="1" applyAlignment="1">
      <alignment horizontal="left" vertical="top"/>
    </xf>
    <xf numFmtId="15" fontId="41" fillId="0" borderId="22" xfId="0" applyNumberFormat="1" applyFont="1" applyFill="1" applyBorder="1" applyAlignment="1">
      <alignment horizontal="left" vertical="top"/>
    </xf>
    <xf numFmtId="167" fontId="41" fillId="0" borderId="22" xfId="14" applyNumberFormat="1" applyFont="1" applyFill="1" applyBorder="1" applyAlignment="1">
      <alignment horizontal="left" vertical="top"/>
    </xf>
    <xf numFmtId="41" fontId="41" fillId="0" borderId="22" xfId="14" applyNumberFormat="1" applyFont="1" applyFill="1" applyBorder="1" applyAlignment="1">
      <alignment horizontal="left" vertical="top" wrapText="1"/>
    </xf>
    <xf numFmtId="167" fontId="41" fillId="0" borderId="22" xfId="14" applyNumberFormat="1" applyFont="1" applyFill="1" applyBorder="1" applyAlignment="1">
      <alignment horizontal="left" vertical="top" wrapText="1"/>
    </xf>
    <xf numFmtId="43" fontId="41" fillId="0" borderId="22" xfId="14" applyFont="1" applyFill="1" applyBorder="1" applyAlignment="1">
      <alignment horizontal="left" vertical="top"/>
    </xf>
    <xf numFmtId="0" fontId="47" fillId="0" borderId="41" xfId="0" applyFont="1" applyBorder="1" applyAlignment="1">
      <alignment horizontal="left" vertical="top"/>
    </xf>
    <xf numFmtId="167" fontId="41" fillId="0" borderId="41" xfId="14" applyNumberFormat="1" applyFont="1" applyFill="1" applyBorder="1" applyAlignment="1">
      <alignment horizontal="left" vertical="top" wrapText="1"/>
    </xf>
    <xf numFmtId="43" fontId="41" fillId="0" borderId="41" xfId="14" applyFont="1" applyFill="1" applyBorder="1" applyAlignment="1">
      <alignment horizontal="left" vertical="top"/>
    </xf>
    <xf numFmtId="41" fontId="38" fillId="0" borderId="22" xfId="14" applyNumberFormat="1" applyFont="1" applyFill="1" applyBorder="1" applyAlignment="1">
      <alignment horizontal="left" vertical="top"/>
    </xf>
    <xf numFmtId="0" fontId="41" fillId="0" borderId="22" xfId="0" applyFont="1" applyFill="1" applyBorder="1" applyAlignment="1">
      <alignment horizontal="left" vertical="top"/>
    </xf>
    <xf numFmtId="167" fontId="41" fillId="0" borderId="43" xfId="14" applyNumberFormat="1" applyFont="1" applyFill="1" applyBorder="1" applyAlignment="1">
      <alignment horizontal="left" vertical="top"/>
    </xf>
    <xf numFmtId="167" fontId="38" fillId="0" borderId="43" xfId="14" applyNumberFormat="1" applyFont="1" applyFill="1" applyBorder="1" applyAlignment="1">
      <alignment horizontal="left" vertical="top"/>
    </xf>
    <xf numFmtId="167" fontId="38" fillId="0" borderId="44" xfId="14" applyNumberFormat="1" applyFont="1" applyFill="1" applyBorder="1" applyAlignment="1">
      <alignment horizontal="left" vertical="top"/>
    </xf>
    <xf numFmtId="0" fontId="47" fillId="0" borderId="0" xfId="0" applyFont="1" applyFill="1" applyAlignment="1">
      <alignment horizontal="left" vertical="top"/>
    </xf>
    <xf numFmtId="167" fontId="47" fillId="0" borderId="0" xfId="0" applyNumberFormat="1" applyFont="1" applyFill="1" applyAlignment="1">
      <alignment horizontal="left" vertical="top"/>
    </xf>
    <xf numFmtId="0" fontId="41" fillId="0" borderId="0" xfId="16" applyFont="1" applyFill="1" applyBorder="1" applyAlignment="1">
      <alignment horizontal="left" vertical="top"/>
    </xf>
    <xf numFmtId="0" fontId="41" fillId="0" borderId="20" xfId="16" applyFont="1" applyFill="1" applyBorder="1" applyAlignment="1">
      <alignment horizontal="left" vertical="top"/>
    </xf>
    <xf numFmtId="0" fontId="41" fillId="0" borderId="0" xfId="16" applyFont="1" applyFill="1" applyBorder="1" applyAlignment="1">
      <alignment horizontal="left" vertical="center"/>
    </xf>
    <xf numFmtId="0" fontId="38" fillId="3" borderId="22" xfId="0" applyFont="1" applyFill="1" applyBorder="1" applyAlignment="1">
      <alignment horizontal="center" vertical="center" wrapText="1"/>
    </xf>
    <xf numFmtId="165" fontId="38" fillId="3" borderId="22" xfId="1" applyFont="1" applyFill="1" applyBorder="1" applyAlignment="1">
      <alignment horizontal="center" vertical="center" wrapText="1"/>
    </xf>
    <xf numFmtId="14" fontId="37" fillId="0" borderId="0" xfId="0" applyNumberFormat="1" applyFont="1" applyFill="1" applyBorder="1" applyAlignment="1">
      <alignment vertical="center"/>
    </xf>
    <xf numFmtId="14" fontId="37" fillId="0" borderId="0" xfId="0" applyNumberFormat="1" applyFont="1" applyFill="1" applyBorder="1" applyAlignment="1">
      <alignment vertical="top"/>
    </xf>
    <xf numFmtId="0" fontId="37" fillId="0" borderId="0" xfId="0" applyFont="1" applyFill="1" applyBorder="1" applyAlignment="1">
      <alignment vertical="top"/>
    </xf>
    <xf numFmtId="0" fontId="37" fillId="0" borderId="21" xfId="0" applyFont="1" applyFill="1" applyBorder="1" applyAlignment="1">
      <alignment vertical="top"/>
    </xf>
    <xf numFmtId="14" fontId="37" fillId="0" borderId="21" xfId="0" applyNumberFormat="1" applyFont="1" applyFill="1" applyBorder="1" applyAlignment="1">
      <alignment vertical="top"/>
    </xf>
    <xf numFmtId="166" fontId="37" fillId="0" borderId="0" xfId="1" applyNumberFormat="1" applyFont="1" applyFill="1" applyBorder="1" applyAlignment="1">
      <alignment vertical="top"/>
    </xf>
    <xf numFmtId="166" fontId="37" fillId="0" borderId="0" xfId="1" applyNumberFormat="1" applyFont="1" applyFill="1" applyBorder="1" applyAlignment="1">
      <alignment horizontal="left" vertical="top"/>
    </xf>
    <xf numFmtId="0" fontId="39" fillId="0" borderId="0" xfId="0" applyFont="1" applyBorder="1"/>
    <xf numFmtId="0" fontId="36" fillId="2" borderId="24" xfId="0" applyFont="1" applyFill="1" applyBorder="1" applyAlignment="1">
      <alignment horizontal="left" vertical="top"/>
    </xf>
    <xf numFmtId="173" fontId="36" fillId="2" borderId="24" xfId="1" applyNumberFormat="1" applyFont="1" applyFill="1" applyBorder="1" applyAlignment="1">
      <alignment horizontal="left" vertical="top" wrapText="1"/>
    </xf>
    <xf numFmtId="0" fontId="37" fillId="0" borderId="9" xfId="0" applyFont="1" applyFill="1" applyBorder="1" applyAlignment="1">
      <alignment vertical="top"/>
    </xf>
    <xf numFmtId="0" fontId="37" fillId="0" borderId="5" xfId="0" applyFont="1" applyFill="1" applyBorder="1" applyAlignment="1">
      <alignment vertical="top"/>
    </xf>
    <xf numFmtId="14" fontId="37" fillId="0" borderId="0" xfId="0" applyNumberFormat="1" applyFont="1" applyFill="1" applyBorder="1" applyAlignment="1">
      <alignment vertical="top" wrapText="1"/>
    </xf>
    <xf numFmtId="0" fontId="0" fillId="0" borderId="18" xfId="0" applyBorder="1" applyAlignment="1"/>
    <xf numFmtId="0" fontId="0" fillId="0" borderId="19" xfId="0" applyBorder="1" applyAlignment="1"/>
    <xf numFmtId="0" fontId="49" fillId="0" borderId="22" xfId="0" applyFont="1" applyFill="1" applyBorder="1" applyAlignment="1">
      <alignment horizontal="left" vertical="top" wrapText="1" shrinkToFit="1"/>
    </xf>
    <xf numFmtId="0" fontId="47" fillId="0" borderId="22" xfId="0" applyFont="1" applyBorder="1" applyAlignment="1">
      <alignment horizontal="left" vertical="top"/>
    </xf>
    <xf numFmtId="166" fontId="41" fillId="0" borderId="22" xfId="1" applyNumberFormat="1" applyFont="1" applyBorder="1" applyAlignment="1">
      <alignment horizontal="right" vertical="center"/>
    </xf>
    <xf numFmtId="174" fontId="41" fillId="0" borderId="22" xfId="1" applyNumberFormat="1" applyFont="1" applyBorder="1" applyAlignment="1">
      <alignment horizontal="right" vertical="center"/>
    </xf>
    <xf numFmtId="0" fontId="37" fillId="0" borderId="22" xfId="0" applyFont="1" applyFill="1" applyBorder="1" applyAlignment="1">
      <alignment horizontal="left" vertical="center" wrapText="1"/>
    </xf>
    <xf numFmtId="166" fontId="39" fillId="0" borderId="22" xfId="1" applyNumberFormat="1" applyFont="1" applyBorder="1" applyAlignment="1">
      <alignment horizontal="right" vertical="center"/>
    </xf>
    <xf numFmtId="175" fontId="37" fillId="0" borderId="22" xfId="0" applyNumberFormat="1" applyFont="1" applyBorder="1" applyAlignment="1">
      <alignment horizontal="right" vertical="center" wrapText="1"/>
    </xf>
    <xf numFmtId="0" fontId="38" fillId="3" borderId="72" xfId="0" applyFont="1" applyFill="1" applyBorder="1" applyAlignment="1">
      <alignment horizontal="center" vertical="center" wrapText="1"/>
    </xf>
    <xf numFmtId="165" fontId="38" fillId="3" borderId="72" xfId="1" applyFont="1" applyFill="1" applyBorder="1" applyAlignment="1">
      <alignment horizontal="center" vertical="center" wrapText="1"/>
    </xf>
    <xf numFmtId="0" fontId="38" fillId="3" borderId="40" xfId="0" applyFont="1" applyFill="1" applyBorder="1" applyAlignment="1">
      <alignment horizontal="center" vertical="center" wrapText="1"/>
    </xf>
    <xf numFmtId="0" fontId="41" fillId="0" borderId="22" xfId="0" applyFont="1" applyBorder="1" applyAlignment="1">
      <alignment horizontal="center" vertical="center"/>
    </xf>
    <xf numFmtId="0" fontId="41" fillId="0" borderId="0" xfId="0" applyFont="1" applyAlignment="1">
      <alignment horizontal="center"/>
    </xf>
    <xf numFmtId="0" fontId="41" fillId="0" borderId="0" xfId="0" applyFont="1" applyAlignment="1">
      <alignment wrapText="1"/>
    </xf>
    <xf numFmtId="0" fontId="41" fillId="0" borderId="40" xfId="0" applyFont="1" applyBorder="1" applyAlignment="1">
      <alignment horizontal="center"/>
    </xf>
    <xf numFmtId="0" fontId="49" fillId="2" borderId="40" xfId="0" applyFont="1" applyFill="1" applyBorder="1" applyAlignment="1">
      <alignment horizontal="center" vertical="center" wrapText="1"/>
    </xf>
    <xf numFmtId="0" fontId="49" fillId="2" borderId="41" xfId="0" applyFont="1" applyFill="1" applyBorder="1" applyAlignment="1">
      <alignment horizontal="center" vertical="center" wrapText="1"/>
    </xf>
    <xf numFmtId="0" fontId="41" fillId="0" borderId="41" xfId="0" applyFont="1" applyBorder="1" applyAlignment="1">
      <alignment horizontal="left" wrapText="1"/>
    </xf>
    <xf numFmtId="0" fontId="41" fillId="0" borderId="40" xfId="0" applyFont="1" applyBorder="1" applyAlignment="1">
      <alignment horizontal="center" vertical="center"/>
    </xf>
    <xf numFmtId="0" fontId="41" fillId="0" borderId="41" xfId="0" applyFont="1" applyBorder="1" applyAlignment="1">
      <alignment horizontal="center" vertical="center" wrapText="1"/>
    </xf>
    <xf numFmtId="0" fontId="47" fillId="0" borderId="40" xfId="0" applyFont="1" applyBorder="1" applyAlignment="1">
      <alignment horizontal="center" vertical="center"/>
    </xf>
    <xf numFmtId="0" fontId="41" fillId="0" borderId="42" xfId="0" applyFont="1" applyBorder="1" applyAlignment="1">
      <alignment horizontal="center" vertical="center"/>
    </xf>
    <xf numFmtId="166" fontId="38" fillId="0" borderId="43" xfId="1" applyNumberFormat="1" applyFont="1" applyBorder="1" applyAlignment="1">
      <alignment horizontal="right" vertical="center"/>
    </xf>
    <xf numFmtId="0" fontId="41" fillId="0" borderId="44" xfId="0" applyFont="1" applyBorder="1" applyAlignment="1">
      <alignment horizontal="center" vertical="center" wrapText="1"/>
    </xf>
    <xf numFmtId="174" fontId="41" fillId="0" borderId="22" xfId="1" applyNumberFormat="1" applyFont="1" applyBorder="1" applyAlignment="1">
      <alignment vertical="center" wrapText="1"/>
    </xf>
    <xf numFmtId="166" fontId="41" fillId="0" borderId="22" xfId="1" applyNumberFormat="1" applyFont="1" applyBorder="1" applyAlignment="1">
      <alignment vertical="center" wrapText="1"/>
    </xf>
    <xf numFmtId="166" fontId="39" fillId="0" borderId="22" xfId="1" applyNumberFormat="1" applyFont="1" applyFill="1" applyBorder="1" applyAlignment="1">
      <alignment horizontal="right" vertical="center"/>
    </xf>
    <xf numFmtId="0" fontId="37" fillId="0" borderId="16" xfId="0" applyFont="1" applyFill="1" applyBorder="1" applyAlignment="1">
      <alignment horizontal="left" vertical="top"/>
    </xf>
    <xf numFmtId="173" fontId="37" fillId="0" borderId="16" xfId="1" applyNumberFormat="1" applyFont="1" applyFill="1" applyBorder="1" applyAlignment="1">
      <alignment horizontal="left" vertical="top" wrapText="1"/>
    </xf>
    <xf numFmtId="0" fontId="37" fillId="0" borderId="16" xfId="0" applyFont="1" applyFill="1" applyBorder="1" applyAlignment="1">
      <alignment horizontal="left" vertical="top" wrapText="1"/>
    </xf>
    <xf numFmtId="166" fontId="41" fillId="0" borderId="8" xfId="1" applyNumberFormat="1" applyFont="1" applyFill="1" applyBorder="1" applyAlignment="1">
      <alignment horizontal="left" vertical="top"/>
    </xf>
    <xf numFmtId="0" fontId="37" fillId="0" borderId="41" xfId="0" applyFont="1" applyFill="1" applyBorder="1" applyAlignment="1">
      <alignment horizontal="center" vertical="center"/>
    </xf>
    <xf numFmtId="14" fontId="37" fillId="0" borderId="41" xfId="0" applyNumberFormat="1" applyFont="1" applyFill="1" applyBorder="1" applyAlignment="1">
      <alignment horizontal="center" vertical="center"/>
    </xf>
    <xf numFmtId="14" fontId="37" fillId="0" borderId="41" xfId="0" applyNumberFormat="1" applyFont="1" applyFill="1" applyBorder="1" applyAlignment="1">
      <alignment horizontal="center" vertical="top" wrapText="1"/>
    </xf>
    <xf numFmtId="0" fontId="37" fillId="0" borderId="40" xfId="0" applyFont="1" applyFill="1" applyBorder="1" applyAlignment="1">
      <alignment horizontal="left" vertical="top"/>
    </xf>
    <xf numFmtId="14" fontId="37" fillId="0" borderId="41" xfId="0" applyNumberFormat="1" applyFont="1" applyFill="1" applyBorder="1" applyAlignment="1">
      <alignment horizontal="center" vertical="top"/>
    </xf>
    <xf numFmtId="166" fontId="37" fillId="0" borderId="21" xfId="1" applyNumberFormat="1" applyFont="1" applyFill="1" applyBorder="1" applyAlignment="1">
      <alignment vertical="top"/>
    </xf>
    <xf numFmtId="0" fontId="53" fillId="0" borderId="21" xfId="0" applyFont="1" applyFill="1" applyBorder="1" applyAlignment="1">
      <alignment vertical="top"/>
    </xf>
    <xf numFmtId="166" fontId="37" fillId="0" borderId="16" xfId="1" applyNumberFormat="1" applyFont="1" applyFill="1" applyBorder="1" applyAlignment="1">
      <alignment horizontal="left" vertical="top"/>
    </xf>
    <xf numFmtId="166" fontId="36" fillId="0" borderId="2" xfId="1" applyNumberFormat="1" applyFont="1" applyFill="1" applyBorder="1" applyAlignment="1">
      <alignment horizontal="left" vertical="top"/>
    </xf>
    <xf numFmtId="0" fontId="39" fillId="0" borderId="22" xfId="0" applyFont="1" applyFill="1" applyBorder="1" applyAlignment="1">
      <alignment horizontal="left" vertical="center" wrapText="1"/>
    </xf>
    <xf numFmtId="0" fontId="38" fillId="3" borderId="81" xfId="0" applyFont="1" applyFill="1" applyBorder="1" applyAlignment="1">
      <alignment horizontal="center" vertical="center" wrapText="1"/>
    </xf>
    <xf numFmtId="0" fontId="38" fillId="3" borderId="41" xfId="0" applyFont="1" applyFill="1" applyBorder="1" applyAlignment="1">
      <alignment horizontal="center" vertical="center" wrapText="1"/>
    </xf>
    <xf numFmtId="166" fontId="41" fillId="0" borderId="0" xfId="0" applyNumberFormat="1" applyFont="1"/>
    <xf numFmtId="0" fontId="2" fillId="0" borderId="40" xfId="0" applyFont="1" applyBorder="1" applyAlignment="1">
      <alignment horizontal="center" vertical="center"/>
    </xf>
    <xf numFmtId="0" fontId="37" fillId="0" borderId="74" xfId="0" applyFont="1" applyBorder="1" applyAlignment="1">
      <alignment horizontal="center" vertical="center"/>
    </xf>
    <xf numFmtId="0" fontId="2" fillId="0" borderId="42" xfId="0" applyFont="1" applyBorder="1" applyAlignment="1">
      <alignment horizontal="center" vertical="center"/>
    </xf>
    <xf numFmtId="0" fontId="37" fillId="0" borderId="34" xfId="0" applyFont="1" applyBorder="1" applyAlignment="1">
      <alignment horizontal="center" vertical="center"/>
    </xf>
    <xf numFmtId="0" fontId="2" fillId="0" borderId="28" xfId="0" applyFont="1" applyBorder="1" applyAlignment="1">
      <alignment horizontal="center" vertical="center"/>
    </xf>
    <xf numFmtId="0" fontId="0" fillId="15" borderId="22" xfId="0" applyFill="1" applyBorder="1" applyAlignment="1">
      <alignment vertical="center"/>
    </xf>
    <xf numFmtId="0" fontId="0" fillId="15" borderId="22" xfId="0" applyFill="1" applyBorder="1" applyAlignment="1">
      <alignment vertical="center" wrapText="1"/>
    </xf>
    <xf numFmtId="0" fontId="0" fillId="16" borderId="22" xfId="0" applyFill="1" applyBorder="1" applyAlignment="1">
      <alignment vertical="center"/>
    </xf>
    <xf numFmtId="0" fontId="0" fillId="8" borderId="22" xfId="0" applyFill="1" applyBorder="1" applyAlignment="1">
      <alignment vertical="center"/>
    </xf>
    <xf numFmtId="0" fontId="0" fillId="8" borderId="22" xfId="0" applyFill="1" applyBorder="1" applyAlignment="1">
      <alignment vertical="center" wrapText="1"/>
    </xf>
    <xf numFmtId="0" fontId="0" fillId="16" borderId="22" xfId="0" applyFill="1" applyBorder="1" applyAlignment="1">
      <alignment vertical="center" wrapText="1"/>
    </xf>
    <xf numFmtId="0" fontId="0" fillId="0" borderId="22" xfId="0" applyFill="1" applyBorder="1" applyAlignment="1">
      <alignment vertical="center"/>
    </xf>
    <xf numFmtId="0" fontId="0" fillId="0" borderId="22" xfId="0" applyFill="1" applyBorder="1" applyAlignment="1">
      <alignment vertical="center" wrapText="1"/>
    </xf>
    <xf numFmtId="0" fontId="27" fillId="0" borderId="22" xfId="0" applyFont="1" applyFill="1" applyBorder="1" applyAlignment="1">
      <alignment vertical="center"/>
    </xf>
    <xf numFmtId="0" fontId="0" fillId="0" borderId="71" xfId="0" applyFill="1" applyBorder="1" applyAlignment="1">
      <alignment vertical="center" wrapText="1"/>
    </xf>
    <xf numFmtId="0" fontId="0" fillId="15" borderId="22" xfId="0" applyFill="1" applyBorder="1" applyAlignment="1">
      <alignment horizontal="center" vertical="center" wrapText="1"/>
    </xf>
    <xf numFmtId="0" fontId="0" fillId="8" borderId="46" xfId="0" applyFill="1" applyBorder="1" applyAlignment="1">
      <alignment vertical="center"/>
    </xf>
    <xf numFmtId="0" fontId="0" fillId="16" borderId="22" xfId="0" applyFill="1" applyBorder="1" applyAlignment="1">
      <alignment horizontal="center" vertical="center" wrapText="1"/>
    </xf>
    <xf numFmtId="0" fontId="59" fillId="15" borderId="22" xfId="0" applyFont="1" applyFill="1" applyBorder="1" applyAlignment="1">
      <alignment horizontal="center" vertical="center" wrapText="1"/>
    </xf>
    <xf numFmtId="0" fontId="0" fillId="8" borderId="22" xfId="0" applyFill="1" applyBorder="1" applyAlignment="1">
      <alignment horizontal="left" vertical="center"/>
    </xf>
    <xf numFmtId="0" fontId="0" fillId="17" borderId="22" xfId="0" applyFill="1" applyBorder="1" applyAlignment="1">
      <alignment vertical="center"/>
    </xf>
    <xf numFmtId="0" fontId="0" fillId="8" borderId="46" xfId="0" applyFill="1" applyBorder="1" applyAlignment="1">
      <alignment wrapText="1"/>
    </xf>
    <xf numFmtId="0" fontId="0" fillId="8" borderId="72" xfId="0" applyFill="1" applyBorder="1" applyAlignment="1">
      <alignment wrapText="1"/>
    </xf>
    <xf numFmtId="0" fontId="0" fillId="15" borderId="22" xfId="0" applyFill="1" applyBorder="1" applyAlignment="1">
      <alignment wrapText="1"/>
    </xf>
    <xf numFmtId="0" fontId="38" fillId="3" borderId="80" xfId="0" applyFont="1" applyFill="1" applyBorder="1" applyAlignment="1">
      <alignment horizontal="center" vertical="center"/>
    </xf>
    <xf numFmtId="165" fontId="38" fillId="3" borderId="72" xfId="1" applyFont="1" applyFill="1" applyBorder="1" applyAlignment="1">
      <alignment horizontal="center" vertical="center"/>
    </xf>
    <xf numFmtId="165" fontId="38" fillId="3" borderId="2" xfId="1" applyFont="1" applyFill="1" applyBorder="1" applyAlignment="1">
      <alignment horizontal="center" vertical="center"/>
    </xf>
    <xf numFmtId="0" fontId="37" fillId="0" borderId="22" xfId="0" applyFont="1" applyBorder="1" applyAlignment="1">
      <alignment horizontal="center" vertical="center"/>
    </xf>
    <xf numFmtId="166" fontId="37" fillId="0" borderId="73" xfId="1" applyNumberFormat="1" applyFont="1" applyBorder="1" applyAlignment="1">
      <alignment horizontal="center" vertical="top"/>
    </xf>
    <xf numFmtId="166" fontId="37" fillId="0" borderId="41" xfId="1" applyNumberFormat="1" applyFont="1" applyBorder="1" applyAlignment="1">
      <alignment horizontal="center" vertical="top"/>
    </xf>
    <xf numFmtId="166" fontId="37" fillId="0" borderId="73" xfId="1" applyNumberFormat="1" applyFont="1" applyBorder="1" applyAlignment="1">
      <alignment horizontal="center" vertical="center"/>
    </xf>
    <xf numFmtId="0" fontId="37" fillId="0" borderId="71" xfId="0" applyFont="1" applyBorder="1" applyAlignment="1">
      <alignment horizontal="center" vertical="center"/>
    </xf>
    <xf numFmtId="166" fontId="37" fillId="0" borderId="37" xfId="1" applyNumberFormat="1" applyFont="1" applyBorder="1" applyAlignment="1">
      <alignment horizontal="center" vertical="top"/>
    </xf>
    <xf numFmtId="166" fontId="37" fillId="0" borderId="78" xfId="1" applyNumberFormat="1" applyFont="1" applyBorder="1" applyAlignment="1">
      <alignment horizontal="center" vertical="top"/>
    </xf>
    <xf numFmtId="166" fontId="37" fillId="0" borderId="22" xfId="1" applyNumberFormat="1" applyFont="1" applyBorder="1" applyAlignment="1">
      <alignment horizontal="right" vertical="center"/>
    </xf>
    <xf numFmtId="0" fontId="57" fillId="0" borderId="22" xfId="0" applyFont="1" applyBorder="1" applyAlignment="1"/>
    <xf numFmtId="166" fontId="37" fillId="0" borderId="71" xfId="1" applyNumberFormat="1" applyFont="1" applyBorder="1" applyAlignment="1">
      <alignment horizontal="right" vertical="center"/>
    </xf>
    <xf numFmtId="0" fontId="2" fillId="0" borderId="6" xfId="0" applyFont="1" applyBorder="1" applyAlignment="1"/>
    <xf numFmtId="0" fontId="36" fillId="0" borderId="9" xfId="0" applyFont="1" applyBorder="1" applyAlignment="1"/>
    <xf numFmtId="166" fontId="36" fillId="0" borderId="4" xfId="1" applyNumberFormat="1" applyFont="1" applyBorder="1" applyAlignment="1">
      <alignment horizontal="center" vertical="top"/>
    </xf>
    <xf numFmtId="166" fontId="36" fillId="0" borderId="84" xfId="1" applyNumberFormat="1" applyFont="1" applyBorder="1" applyAlignment="1">
      <alignment horizontal="center" vertical="top"/>
    </xf>
    <xf numFmtId="0" fontId="0" fillId="15" borderId="22" xfId="0" applyFill="1" applyBorder="1" applyAlignment="1">
      <alignment horizontal="center" vertical="center"/>
    </xf>
    <xf numFmtId="0" fontId="27" fillId="0" borderId="22" xfId="0" applyFont="1" applyFill="1" applyBorder="1" applyAlignment="1">
      <alignment vertical="center" wrapText="1"/>
    </xf>
    <xf numFmtId="0" fontId="0" fillId="8" borderId="46" xfId="0" applyFill="1" applyBorder="1" applyAlignment="1">
      <alignment vertical="center" wrapText="1"/>
    </xf>
    <xf numFmtId="0" fontId="0" fillId="8" borderId="22" xfId="0" applyFill="1" applyBorder="1" applyAlignment="1">
      <alignment horizontal="left" vertical="center" wrapText="1"/>
    </xf>
    <xf numFmtId="0" fontId="0" fillId="17" borderId="22" xfId="0" applyFill="1" applyBorder="1" applyAlignment="1">
      <alignment vertical="center" wrapText="1"/>
    </xf>
    <xf numFmtId="166" fontId="37" fillId="0" borderId="35" xfId="1" applyNumberFormat="1" applyFont="1" applyFill="1" applyBorder="1" applyAlignment="1">
      <alignment horizontal="center" vertical="top"/>
    </xf>
    <xf numFmtId="166" fontId="37" fillId="0" borderId="0" xfId="1" applyNumberFormat="1" applyFont="1" applyFill="1" applyBorder="1" applyAlignment="1">
      <alignment horizontal="center" vertical="top"/>
    </xf>
    <xf numFmtId="166" fontId="2" fillId="0" borderId="0" xfId="0" applyNumberFormat="1" applyFont="1" applyAlignment="1">
      <alignment horizontal="center" vertical="center"/>
    </xf>
    <xf numFmtId="165" fontId="38" fillId="3" borderId="35" xfId="1" applyFont="1" applyFill="1" applyBorder="1" applyAlignment="1">
      <alignment horizontal="center" vertical="center"/>
    </xf>
    <xf numFmtId="166" fontId="37" fillId="0" borderId="10" xfId="1" applyNumberFormat="1" applyFont="1" applyBorder="1" applyAlignment="1">
      <alignment horizontal="center" vertical="top"/>
    </xf>
    <xf numFmtId="166" fontId="37" fillId="0" borderId="10" xfId="1" applyNumberFormat="1" applyFont="1" applyBorder="1" applyAlignment="1">
      <alignment horizontal="center" vertical="center"/>
    </xf>
    <xf numFmtId="166" fontId="37" fillId="0" borderId="23" xfId="1" applyNumberFormat="1" applyFont="1" applyBorder="1" applyAlignment="1">
      <alignment horizontal="center" vertical="top"/>
    </xf>
    <xf numFmtId="166" fontId="36" fillId="0" borderId="5" xfId="1" applyNumberFormat="1" applyFont="1" applyBorder="1" applyAlignment="1">
      <alignment horizontal="center" vertical="top"/>
    </xf>
    <xf numFmtId="43" fontId="0" fillId="8" borderId="22" xfId="14" applyFont="1" applyFill="1" applyBorder="1" applyAlignment="1">
      <alignment vertical="center"/>
    </xf>
    <xf numFmtId="0" fontId="3" fillId="0" borderId="22" xfId="0" applyFont="1" applyFill="1" applyBorder="1" applyAlignment="1">
      <alignment horizontal="center" vertical="center"/>
    </xf>
    <xf numFmtId="0" fontId="3" fillId="0" borderId="22" xfId="0" applyFont="1" applyFill="1" applyBorder="1" applyAlignment="1">
      <alignment horizontal="center" vertical="center" wrapText="1"/>
    </xf>
    <xf numFmtId="176" fontId="7" fillId="0" borderId="22" xfId="0" applyNumberFormat="1" applyFont="1" applyFill="1" applyBorder="1" applyAlignment="1">
      <alignment horizontal="center" vertical="center"/>
    </xf>
    <xf numFmtId="176" fontId="7" fillId="0" borderId="22" xfId="0" applyNumberFormat="1" applyFont="1" applyFill="1" applyBorder="1" applyAlignment="1">
      <alignment horizontal="center" vertical="center" wrapText="1"/>
    </xf>
    <xf numFmtId="0" fontId="7" fillId="0" borderId="22" xfId="0" applyFont="1" applyFill="1" applyBorder="1" applyAlignment="1">
      <alignment horizontal="center" vertical="center" wrapText="1"/>
    </xf>
    <xf numFmtId="0" fontId="0" fillId="0" borderId="23" xfId="0" applyFill="1" applyBorder="1" applyAlignment="1">
      <alignment horizontal="center" vertical="center"/>
    </xf>
    <xf numFmtId="0" fontId="0" fillId="15" borderId="22" xfId="0" applyFill="1" applyBorder="1" applyAlignment="1">
      <alignment horizontal="right" vertical="center" wrapText="1"/>
    </xf>
    <xf numFmtId="0" fontId="0" fillId="15" borderId="22" xfId="0" applyFill="1" applyBorder="1" applyAlignment="1">
      <alignment horizontal="right" vertical="center"/>
    </xf>
    <xf numFmtId="176" fontId="0" fillId="15" borderId="22" xfId="0" applyNumberFormat="1" applyFill="1" applyBorder="1" applyAlignment="1">
      <alignment vertical="center"/>
    </xf>
    <xf numFmtId="2" fontId="0" fillId="15" borderId="22" xfId="0" applyNumberFormat="1" applyFill="1" applyBorder="1" applyAlignment="1">
      <alignment vertical="center"/>
    </xf>
    <xf numFmtId="1" fontId="0" fillId="15" borderId="22" xfId="0" applyNumberFormat="1" applyFill="1" applyBorder="1" applyAlignment="1">
      <alignment vertical="center"/>
    </xf>
    <xf numFmtId="0" fontId="0" fillId="15" borderId="22" xfId="0" applyNumberFormat="1" applyFill="1" applyBorder="1" applyAlignment="1">
      <alignment vertical="center"/>
    </xf>
    <xf numFmtId="0" fontId="0" fillId="15" borderId="0" xfId="0" applyFill="1" applyBorder="1" applyAlignment="1">
      <alignment vertical="center"/>
    </xf>
    <xf numFmtId="0" fontId="0" fillId="16" borderId="22" xfId="0" applyFill="1" applyBorder="1" applyAlignment="1">
      <alignment horizontal="right" vertical="center"/>
    </xf>
    <xf numFmtId="176" fontId="0" fillId="16" borderId="22" xfId="0" applyNumberFormat="1" applyFill="1" applyBorder="1" applyAlignment="1">
      <alignment vertical="center"/>
    </xf>
    <xf numFmtId="1" fontId="0" fillId="16" borderId="22" xfId="0" applyNumberFormat="1" applyFill="1" applyBorder="1" applyAlignment="1">
      <alignment vertical="center"/>
    </xf>
    <xf numFmtId="0" fontId="0" fillId="16" borderId="22" xfId="0" applyNumberFormat="1" applyFill="1" applyBorder="1" applyAlignment="1">
      <alignment vertical="center"/>
    </xf>
    <xf numFmtId="0" fontId="0" fillId="16" borderId="0" xfId="0" applyFill="1" applyBorder="1" applyAlignment="1">
      <alignment vertical="center"/>
    </xf>
    <xf numFmtId="0" fontId="0" fillId="8" borderId="22" xfId="0" applyFill="1" applyBorder="1" applyAlignment="1">
      <alignment horizontal="right" vertical="center"/>
    </xf>
    <xf numFmtId="14" fontId="0" fillId="8" borderId="22" xfId="0" applyNumberFormat="1" applyFill="1" applyBorder="1" applyAlignment="1">
      <alignment vertical="center"/>
    </xf>
    <xf numFmtId="176" fontId="0" fillId="8" borderId="22" xfId="0" applyNumberFormat="1" applyFill="1" applyBorder="1" applyAlignment="1">
      <alignment vertical="center"/>
    </xf>
    <xf numFmtId="176" fontId="0" fillId="8" borderId="22" xfId="0" applyNumberFormat="1" applyFill="1" applyBorder="1" applyAlignment="1">
      <alignment horizontal="center" vertical="center"/>
    </xf>
    <xf numFmtId="1" fontId="0" fillId="8" borderId="22" xfId="0" applyNumberFormat="1" applyFill="1" applyBorder="1" applyAlignment="1">
      <alignment vertical="center"/>
    </xf>
    <xf numFmtId="0" fontId="0" fillId="8" borderId="22" xfId="0" applyNumberFormat="1" applyFill="1" applyBorder="1" applyAlignment="1">
      <alignment vertical="center"/>
    </xf>
    <xf numFmtId="0" fontId="0" fillId="8" borderId="0" xfId="0" applyFill="1" applyBorder="1" applyAlignment="1">
      <alignment vertical="center"/>
    </xf>
    <xf numFmtId="0" fontId="0" fillId="16" borderId="22" xfId="0" applyFill="1" applyBorder="1" applyAlignment="1">
      <alignment horizontal="right" vertical="center" wrapText="1"/>
    </xf>
    <xf numFmtId="0" fontId="0" fillId="0" borderId="22" xfId="0" applyFill="1" applyBorder="1" applyAlignment="1">
      <alignment horizontal="right" vertical="center"/>
    </xf>
    <xf numFmtId="176" fontId="0" fillId="0" borderId="22" xfId="0" applyNumberFormat="1" applyFill="1" applyBorder="1" applyAlignment="1">
      <alignment vertical="center"/>
    </xf>
    <xf numFmtId="0" fontId="0" fillId="0" borderId="22" xfId="0" applyNumberFormat="1" applyFill="1" applyBorder="1" applyAlignment="1">
      <alignment vertical="center"/>
    </xf>
    <xf numFmtId="0" fontId="0" fillId="0" borderId="0" xfId="0" applyFill="1" applyBorder="1" applyAlignment="1">
      <alignment vertical="center"/>
    </xf>
    <xf numFmtId="0" fontId="0" fillId="0" borderId="22" xfId="0" applyFill="1" applyBorder="1" applyAlignment="1">
      <alignment horizontal="right" vertical="center" wrapText="1"/>
    </xf>
    <xf numFmtId="14" fontId="0" fillId="16" borderId="22" xfId="0" applyNumberFormat="1" applyFill="1" applyBorder="1" applyAlignment="1">
      <alignment vertical="center"/>
    </xf>
    <xf numFmtId="14" fontId="0" fillId="15" borderId="22" xfId="0" applyNumberFormat="1" applyFill="1" applyBorder="1" applyAlignment="1">
      <alignment vertical="center"/>
    </xf>
    <xf numFmtId="176" fontId="0" fillId="8" borderId="22" xfId="0" applyNumberFormat="1" applyFill="1" applyBorder="1" applyAlignment="1">
      <alignment vertical="center" wrapText="1"/>
    </xf>
    <xf numFmtId="14" fontId="0" fillId="0" borderId="22" xfId="0" applyNumberFormat="1" applyFill="1" applyBorder="1" applyAlignment="1">
      <alignment vertical="center"/>
    </xf>
    <xf numFmtId="0" fontId="0" fillId="8" borderId="22" xfId="0" applyFill="1" applyBorder="1" applyAlignment="1">
      <alignment horizontal="right" vertical="center" wrapText="1"/>
    </xf>
    <xf numFmtId="0" fontId="0" fillId="8" borderId="22" xfId="0" applyNumberFormat="1" applyFill="1" applyBorder="1" applyAlignment="1">
      <alignment horizontal="right" vertical="center"/>
    </xf>
    <xf numFmtId="43" fontId="0" fillId="8" borderId="22" xfId="0" applyNumberFormat="1" applyFill="1" applyBorder="1" applyAlignment="1">
      <alignment vertical="center"/>
    </xf>
    <xf numFmtId="43" fontId="0" fillId="15" borderId="22" xfId="14" applyFont="1" applyFill="1" applyBorder="1" applyAlignment="1">
      <alignment vertical="center"/>
    </xf>
    <xf numFmtId="43" fontId="0" fillId="15" borderId="22" xfId="0" applyNumberFormat="1" applyFill="1" applyBorder="1" applyAlignment="1">
      <alignment vertical="center"/>
    </xf>
    <xf numFmtId="43" fontId="0" fillId="0" borderId="22" xfId="14" applyFont="1" applyFill="1" applyBorder="1" applyAlignment="1">
      <alignment vertical="center"/>
    </xf>
    <xf numFmtId="43" fontId="0" fillId="0" borderId="22" xfId="0" applyNumberFormat="1" applyFill="1" applyBorder="1" applyAlignment="1">
      <alignment vertical="center"/>
    </xf>
    <xf numFmtId="43" fontId="0" fillId="16" borderId="22" xfId="14" applyFont="1" applyFill="1" applyBorder="1" applyAlignment="1">
      <alignment vertical="center"/>
    </xf>
    <xf numFmtId="2" fontId="0" fillId="0" borderId="22" xfId="14" applyNumberFormat="1" applyFont="1" applyFill="1" applyBorder="1" applyAlignment="1">
      <alignment vertical="center"/>
    </xf>
    <xf numFmtId="171" fontId="0" fillId="15" borderId="22" xfId="0" applyNumberFormat="1" applyFill="1" applyBorder="1" applyAlignment="1">
      <alignment horizontal="center" vertical="center" wrapText="1"/>
    </xf>
    <xf numFmtId="0" fontId="0" fillId="15" borderId="73" xfId="0" applyFill="1" applyBorder="1" applyAlignment="1">
      <alignment vertical="center"/>
    </xf>
    <xf numFmtId="0" fontId="0" fillId="0" borderId="73" xfId="0" applyFill="1" applyBorder="1" applyAlignment="1">
      <alignment vertical="center"/>
    </xf>
    <xf numFmtId="0" fontId="0" fillId="17" borderId="22" xfId="0" applyFill="1" applyBorder="1" applyAlignment="1">
      <alignment horizontal="right" vertical="center"/>
    </xf>
    <xf numFmtId="176" fontId="0" fillId="17" borderId="22" xfId="0" applyNumberFormat="1" applyFill="1" applyBorder="1" applyAlignment="1">
      <alignment vertical="center"/>
    </xf>
    <xf numFmtId="0" fontId="0" fillId="17" borderId="22" xfId="0" applyNumberFormat="1" applyFill="1" applyBorder="1" applyAlignment="1">
      <alignment vertical="center"/>
    </xf>
    <xf numFmtId="15" fontId="0" fillId="0" borderId="22" xfId="0" applyNumberFormat="1" applyFill="1" applyBorder="1" applyAlignment="1">
      <alignment vertical="center"/>
    </xf>
    <xf numFmtId="15" fontId="0" fillId="8" borderId="22" xfId="0" applyNumberFormat="1" applyFill="1" applyBorder="1" applyAlignment="1">
      <alignment vertical="center"/>
    </xf>
    <xf numFmtId="15" fontId="0" fillId="16" borderId="22" xfId="0" applyNumberFormat="1" applyFill="1" applyBorder="1" applyAlignment="1">
      <alignment vertical="center"/>
    </xf>
    <xf numFmtId="1" fontId="0" fillId="15" borderId="71" xfId="0" applyNumberFormat="1" applyFill="1" applyBorder="1" applyAlignment="1">
      <alignment vertical="center"/>
    </xf>
    <xf numFmtId="0" fontId="0" fillId="15" borderId="22" xfId="0" applyFill="1" applyBorder="1"/>
    <xf numFmtId="0" fontId="7" fillId="15" borderId="22" xfId="0" applyFont="1" applyFill="1" applyBorder="1" applyAlignment="1">
      <alignment horizontal="center" vertical="center" wrapText="1"/>
    </xf>
    <xf numFmtId="15" fontId="0" fillId="15" borderId="22" xfId="0" applyNumberFormat="1" applyFill="1" applyBorder="1" applyAlignment="1">
      <alignment vertical="center"/>
    </xf>
    <xf numFmtId="0" fontId="3" fillId="15" borderId="22" xfId="0" applyFont="1" applyFill="1" applyBorder="1" applyAlignment="1">
      <alignment vertical="center"/>
    </xf>
    <xf numFmtId="0" fontId="3" fillId="15" borderId="22" xfId="0" applyFont="1" applyFill="1" applyBorder="1" applyAlignment="1">
      <alignment horizontal="center" vertical="center"/>
    </xf>
    <xf numFmtId="0" fontId="0" fillId="0" borderId="35" xfId="0" applyFill="1" applyBorder="1" applyAlignment="1">
      <alignment vertical="center"/>
    </xf>
    <xf numFmtId="0" fontId="0" fillId="0" borderId="0" xfId="0" applyFill="1" applyBorder="1"/>
    <xf numFmtId="0" fontId="0" fillId="0" borderId="0" xfId="0" applyFill="1" applyBorder="1" applyAlignment="1">
      <alignment wrapText="1"/>
    </xf>
    <xf numFmtId="0" fontId="7" fillId="0" borderId="0" xfId="0" applyFont="1" applyFill="1" applyBorder="1" applyAlignment="1">
      <alignment horizontal="center" vertical="center" wrapText="1"/>
    </xf>
    <xf numFmtId="15" fontId="0" fillId="0" borderId="0" xfId="0" applyNumberFormat="1" applyFill="1" applyBorder="1" applyAlignment="1">
      <alignment vertical="center"/>
    </xf>
    <xf numFmtId="176" fontId="0" fillId="0" borderId="0" xfId="0" applyNumberFormat="1" applyFill="1" applyBorder="1" applyAlignment="1">
      <alignment horizontal="center" vertical="center"/>
    </xf>
    <xf numFmtId="0" fontId="0" fillId="0" borderId="0" xfId="0" applyNumberFormat="1" applyFill="1" applyBorder="1" applyAlignment="1">
      <alignment vertical="center"/>
    </xf>
    <xf numFmtId="0" fontId="0" fillId="0" borderId="72" xfId="0" applyNumberFormat="1" applyFill="1" applyBorder="1" applyAlignment="1">
      <alignment vertical="center"/>
    </xf>
    <xf numFmtId="0" fontId="0" fillId="0" borderId="72" xfId="0" applyFill="1" applyBorder="1" applyAlignment="1">
      <alignment vertical="center"/>
    </xf>
    <xf numFmtId="0" fontId="0" fillId="0" borderId="46" xfId="0" applyFill="1" applyBorder="1" applyAlignment="1">
      <alignment vertical="center"/>
    </xf>
    <xf numFmtId="0" fontId="61" fillId="0" borderId="0" xfId="20" applyFont="1" applyFill="1" applyBorder="1" applyAlignment="1" applyProtection="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176" fontId="0" fillId="0" borderId="0" xfId="0" applyNumberFormat="1" applyFill="1" applyBorder="1" applyAlignment="1">
      <alignment vertical="center"/>
    </xf>
    <xf numFmtId="1" fontId="0" fillId="0" borderId="0" xfId="0" applyNumberFormat="1" applyFill="1" applyBorder="1" applyAlignment="1">
      <alignment vertical="center"/>
    </xf>
    <xf numFmtId="0" fontId="7" fillId="0" borderId="18" xfId="0" applyFont="1" applyFill="1" applyBorder="1" applyAlignment="1">
      <alignment horizontal="center" vertical="center" wrapText="1"/>
    </xf>
    <xf numFmtId="0" fontId="7" fillId="0" borderId="9" xfId="0" applyFont="1" applyFill="1" applyBorder="1" applyAlignment="1">
      <alignment horizontal="center" vertical="center" wrapText="1"/>
    </xf>
    <xf numFmtId="14" fontId="0" fillId="0" borderId="18" xfId="0" applyNumberFormat="1" applyFill="1" applyBorder="1" applyAlignment="1">
      <alignment horizontal="center" vertical="center"/>
    </xf>
    <xf numFmtId="14" fontId="0" fillId="0" borderId="0" xfId="0" applyNumberFormat="1" applyFill="1" applyBorder="1" applyAlignment="1">
      <alignment horizontal="center" vertical="center"/>
    </xf>
    <xf numFmtId="14" fontId="7" fillId="0" borderId="0" xfId="0" applyNumberFormat="1" applyFont="1" applyFill="1" applyBorder="1" applyAlignment="1">
      <alignment horizontal="center" vertical="center"/>
    </xf>
    <xf numFmtId="0" fontId="62" fillId="0" borderId="0" xfId="0" applyFont="1" applyFill="1" applyBorder="1" applyAlignment="1">
      <alignment horizontal="center" vertical="center"/>
    </xf>
    <xf numFmtId="0" fontId="57" fillId="0" borderId="0" xfId="0" applyFont="1" applyFill="1" applyBorder="1" applyAlignment="1">
      <alignment horizontal="center" vertical="center"/>
    </xf>
    <xf numFmtId="0" fontId="63" fillId="0" borderId="0" xfId="0" applyFont="1" applyFill="1" applyBorder="1" applyAlignment="1">
      <alignment horizontal="center" vertical="center"/>
    </xf>
    <xf numFmtId="178" fontId="0" fillId="0" borderId="0" xfId="0" applyNumberFormat="1" applyFill="1" applyBorder="1" applyAlignment="1">
      <alignment vertical="center"/>
    </xf>
    <xf numFmtId="3" fontId="63" fillId="0" borderId="0" xfId="0" applyNumberFormat="1" applyFont="1" applyFill="1" applyBorder="1" applyAlignment="1">
      <alignment horizontal="center" vertical="center"/>
    </xf>
    <xf numFmtId="0" fontId="3" fillId="15" borderId="73" xfId="0" applyFont="1" applyFill="1" applyBorder="1" applyAlignment="1">
      <alignment vertical="center"/>
    </xf>
    <xf numFmtId="177" fontId="0" fillId="8" borderId="22" xfId="0" applyNumberFormat="1" applyFill="1" applyBorder="1" applyAlignment="1">
      <alignment vertical="center"/>
    </xf>
    <xf numFmtId="0" fontId="0" fillId="8" borderId="22" xfId="0" applyFill="1" applyBorder="1" applyAlignment="1">
      <alignment horizontal="center" vertical="center"/>
    </xf>
    <xf numFmtId="0" fontId="0" fillId="8" borderId="22" xfId="0" applyFill="1" applyBorder="1"/>
    <xf numFmtId="0" fontId="0" fillId="8" borderId="22" xfId="0" applyFill="1" applyBorder="1" applyAlignment="1">
      <alignment wrapText="1"/>
    </xf>
    <xf numFmtId="0" fontId="0" fillId="8" borderId="73" xfId="0" applyFill="1" applyBorder="1" applyAlignment="1">
      <alignment vertical="center"/>
    </xf>
    <xf numFmtId="0" fontId="7" fillId="8" borderId="22" xfId="0" applyFont="1" applyFill="1" applyBorder="1" applyAlignment="1">
      <alignment horizontal="center" vertical="center" wrapText="1"/>
    </xf>
    <xf numFmtId="0" fontId="3" fillId="8" borderId="37" xfId="0" applyFont="1" applyFill="1" applyBorder="1" applyAlignment="1">
      <alignment vertical="center"/>
    </xf>
    <xf numFmtId="0" fontId="3" fillId="8" borderId="71" xfId="0" applyFont="1" applyFill="1" applyBorder="1" applyAlignment="1">
      <alignment vertical="center"/>
    </xf>
    <xf numFmtId="0" fontId="3" fillId="8" borderId="71" xfId="0" applyFont="1" applyFill="1" applyBorder="1" applyAlignment="1">
      <alignment horizontal="center" vertical="center"/>
    </xf>
    <xf numFmtId="0" fontId="0" fillId="8" borderId="71" xfId="0" applyFill="1" applyBorder="1" applyAlignment="1">
      <alignment vertical="center"/>
    </xf>
    <xf numFmtId="0" fontId="7" fillId="8" borderId="71" xfId="0" applyFont="1" applyFill="1" applyBorder="1" applyAlignment="1">
      <alignment horizontal="center" vertical="center" wrapText="1"/>
    </xf>
    <xf numFmtId="176" fontId="0" fillId="8" borderId="71" xfId="0" applyNumberFormat="1" applyFill="1" applyBorder="1" applyAlignment="1">
      <alignment vertical="center"/>
    </xf>
    <xf numFmtId="1" fontId="0" fillId="8" borderId="71" xfId="0" applyNumberFormat="1" applyFill="1" applyBorder="1" applyAlignment="1">
      <alignment vertical="center"/>
    </xf>
    <xf numFmtId="1" fontId="0" fillId="0" borderId="22" xfId="0" applyNumberFormat="1" applyFill="1" applyBorder="1" applyAlignment="1">
      <alignment vertical="center"/>
    </xf>
    <xf numFmtId="165" fontId="38" fillId="3" borderId="35" xfId="1" applyFont="1" applyFill="1" applyBorder="1" applyAlignment="1">
      <alignment horizontal="center" vertical="center" wrapText="1"/>
    </xf>
    <xf numFmtId="0" fontId="0" fillId="15" borderId="74" xfId="0" applyFill="1" applyBorder="1" applyAlignment="1">
      <alignment vertical="center"/>
    </xf>
    <xf numFmtId="0" fontId="0" fillId="16" borderId="74" xfId="0" applyFill="1" applyBorder="1" applyAlignment="1">
      <alignment vertical="center"/>
    </xf>
    <xf numFmtId="0" fontId="0" fillId="8" borderId="74" xfId="0" applyFill="1" applyBorder="1" applyAlignment="1">
      <alignment vertical="center"/>
    </xf>
    <xf numFmtId="0" fontId="0" fillId="0" borderId="74" xfId="0" applyFill="1" applyBorder="1" applyAlignment="1">
      <alignment vertical="center"/>
    </xf>
    <xf numFmtId="177" fontId="0" fillId="8" borderId="74" xfId="0" applyNumberFormat="1" applyFill="1" applyBorder="1" applyAlignment="1">
      <alignment vertical="center"/>
    </xf>
    <xf numFmtId="0" fontId="60" fillId="8" borderId="74" xfId="20" applyFill="1" applyBorder="1" applyAlignment="1" applyProtection="1">
      <alignment vertical="center"/>
    </xf>
    <xf numFmtId="0" fontId="61" fillId="8" borderId="74" xfId="20" applyFont="1" applyFill="1" applyBorder="1" applyAlignment="1" applyProtection="1">
      <alignment vertical="center"/>
    </xf>
    <xf numFmtId="0" fontId="61" fillId="15" borderId="74" xfId="20" applyFont="1" applyFill="1" applyBorder="1" applyAlignment="1" applyProtection="1">
      <alignment vertical="center"/>
    </xf>
    <xf numFmtId="0" fontId="3" fillId="8" borderId="22" xfId="0" applyFont="1" applyFill="1" applyBorder="1" applyAlignment="1">
      <alignment vertical="center"/>
    </xf>
    <xf numFmtId="0" fontId="3" fillId="0" borderId="22" xfId="0" applyFont="1" applyFill="1" applyBorder="1" applyAlignment="1">
      <alignment vertical="center"/>
    </xf>
    <xf numFmtId="0" fontId="0" fillId="17" borderId="22" xfId="0" applyFill="1" applyBorder="1" applyAlignment="1">
      <alignment horizontal="right" vertical="center" wrapText="1"/>
    </xf>
    <xf numFmtId="1" fontId="0" fillId="17" borderId="22" xfId="0" applyNumberFormat="1" applyFill="1" applyBorder="1" applyAlignment="1">
      <alignment vertical="center"/>
    </xf>
    <xf numFmtId="0" fontId="0" fillId="8" borderId="37" xfId="0" applyFill="1" applyBorder="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0" fontId="38" fillId="3" borderId="85" xfId="0" applyFont="1" applyFill="1" applyBorder="1" applyAlignment="1">
      <alignment horizontal="center" vertical="center"/>
    </xf>
    <xf numFmtId="0" fontId="38" fillId="3" borderId="86" xfId="0" applyFont="1" applyFill="1" applyBorder="1" applyAlignment="1">
      <alignment horizontal="center" vertical="center" wrapText="1"/>
    </xf>
    <xf numFmtId="165" fontId="38" fillId="3" borderId="86" xfId="1" applyFont="1" applyFill="1" applyBorder="1" applyAlignment="1">
      <alignment horizontal="center" vertical="center" wrapText="1"/>
    </xf>
    <xf numFmtId="0" fontId="3" fillId="0" borderId="67" xfId="0" applyFont="1" applyFill="1" applyBorder="1" applyAlignment="1">
      <alignment horizontal="center" vertical="center"/>
    </xf>
    <xf numFmtId="0" fontId="3" fillId="0" borderId="67" xfId="0" applyFont="1" applyFill="1" applyBorder="1" applyAlignment="1">
      <alignment horizontal="center" vertical="center" wrapText="1"/>
    </xf>
    <xf numFmtId="176" fontId="7" fillId="0" borderId="67" xfId="0" applyNumberFormat="1" applyFont="1" applyFill="1" applyBorder="1" applyAlignment="1">
      <alignment horizontal="center" vertical="center"/>
    </xf>
    <xf numFmtId="176" fontId="7" fillId="0" borderId="67" xfId="0" applyNumberFormat="1" applyFont="1" applyFill="1" applyBorder="1" applyAlignment="1">
      <alignment horizontal="center" vertical="center" wrapText="1"/>
    </xf>
    <xf numFmtId="0" fontId="7" fillId="0" borderId="67" xfId="0" applyFont="1" applyFill="1" applyBorder="1" applyAlignment="1">
      <alignment horizontal="center" vertical="center" wrapText="1"/>
    </xf>
    <xf numFmtId="165" fontId="38" fillId="3" borderId="77" xfId="1" applyFont="1" applyFill="1" applyBorder="1" applyAlignment="1">
      <alignment horizontal="center" vertical="center" wrapText="1"/>
    </xf>
    <xf numFmtId="165" fontId="38" fillId="3" borderId="68" xfId="1" applyFont="1" applyFill="1" applyBorder="1" applyAlignment="1">
      <alignment horizontal="center" vertical="center" wrapText="1"/>
    </xf>
    <xf numFmtId="0" fontId="0" fillId="15" borderId="40" xfId="0" applyFill="1" applyBorder="1" applyAlignment="1">
      <alignment vertical="center"/>
    </xf>
    <xf numFmtId="0" fontId="0" fillId="15" borderId="41" xfId="0" applyFill="1" applyBorder="1" applyAlignment="1">
      <alignment vertical="center"/>
    </xf>
    <xf numFmtId="0" fontId="0" fillId="16" borderId="40" xfId="0" applyFill="1" applyBorder="1" applyAlignment="1">
      <alignment vertical="center"/>
    </xf>
    <xf numFmtId="0" fontId="0" fillId="8" borderId="40" xfId="0" applyFill="1" applyBorder="1" applyAlignment="1">
      <alignment vertical="center"/>
    </xf>
    <xf numFmtId="0" fontId="0" fillId="8" borderId="41" xfId="0" applyFill="1" applyBorder="1" applyAlignment="1">
      <alignment vertical="center"/>
    </xf>
    <xf numFmtId="0" fontId="0" fillId="0" borderId="40" xfId="0" applyFill="1" applyBorder="1" applyAlignment="1">
      <alignment vertical="center"/>
    </xf>
    <xf numFmtId="0" fontId="0" fillId="0" borderId="41" xfId="0" applyFill="1" applyBorder="1" applyAlignment="1">
      <alignment vertical="center"/>
    </xf>
    <xf numFmtId="0" fontId="0" fillId="15" borderId="40" xfId="0" applyFill="1" applyBorder="1" applyAlignment="1">
      <alignment horizontal="center" vertical="center" wrapText="1"/>
    </xf>
    <xf numFmtId="0" fontId="29" fillId="15" borderId="40" xfId="0" applyFont="1" applyFill="1" applyBorder="1" applyAlignment="1">
      <alignment vertical="center"/>
    </xf>
    <xf numFmtId="0" fontId="27" fillId="15" borderId="40" xfId="0" applyFont="1" applyFill="1" applyBorder="1" applyAlignment="1">
      <alignment vertical="center"/>
    </xf>
    <xf numFmtId="0" fontId="0" fillId="15" borderId="42" xfId="0" applyFill="1" applyBorder="1" applyAlignment="1">
      <alignment vertical="center"/>
    </xf>
    <xf numFmtId="0" fontId="0" fillId="15" borderId="43" xfId="0" applyFill="1" applyBorder="1" applyAlignment="1">
      <alignment vertical="center"/>
    </xf>
    <xf numFmtId="0" fontId="0" fillId="15" borderId="43" xfId="0" applyFill="1" applyBorder="1" applyAlignment="1">
      <alignment wrapText="1"/>
    </xf>
    <xf numFmtId="0" fontId="0" fillId="15" borderId="43" xfId="0" applyFill="1" applyBorder="1"/>
    <xf numFmtId="15" fontId="0" fillId="15" borderId="43" xfId="0" applyNumberFormat="1" applyFill="1" applyBorder="1" applyAlignment="1">
      <alignment vertical="center"/>
    </xf>
    <xf numFmtId="0" fontId="0" fillId="0" borderId="43" xfId="0" applyFill="1" applyBorder="1" applyAlignment="1">
      <alignment vertical="center"/>
    </xf>
    <xf numFmtId="1" fontId="0" fillId="8" borderId="43" xfId="0" applyNumberFormat="1" applyFill="1" applyBorder="1" applyAlignment="1">
      <alignment vertical="center"/>
    </xf>
    <xf numFmtId="0" fontId="0" fillId="8" borderId="43" xfId="0" applyNumberFormat="1" applyFill="1" applyBorder="1" applyAlignment="1">
      <alignment vertical="center"/>
    </xf>
    <xf numFmtId="0" fontId="0" fillId="8" borderId="43" xfId="0" applyFill="1" applyBorder="1" applyAlignment="1">
      <alignment vertical="center"/>
    </xf>
    <xf numFmtId="0" fontId="0" fillId="15" borderId="82" xfId="0" applyFill="1" applyBorder="1" applyAlignment="1">
      <alignment vertical="center"/>
    </xf>
    <xf numFmtId="0" fontId="0" fillId="15" borderId="44" xfId="0" applyFill="1" applyBorder="1" applyAlignment="1">
      <alignment vertical="center"/>
    </xf>
    <xf numFmtId="0" fontId="0" fillId="15" borderId="71" xfId="0" applyFill="1" applyBorder="1" applyAlignment="1">
      <alignment vertical="center"/>
    </xf>
    <xf numFmtId="0" fontId="0" fillId="15" borderId="37" xfId="0" applyFill="1" applyBorder="1" applyAlignment="1">
      <alignment vertical="center"/>
    </xf>
    <xf numFmtId="176" fontId="0" fillId="15" borderId="71" xfId="0" applyNumberFormat="1" applyFill="1" applyBorder="1" applyAlignment="1">
      <alignment vertical="center"/>
    </xf>
    <xf numFmtId="0" fontId="0" fillId="0" borderId="36" xfId="0" applyFill="1" applyBorder="1" applyAlignment="1">
      <alignment vertical="center"/>
    </xf>
    <xf numFmtId="0" fontId="0" fillId="16" borderId="41" xfId="0" applyFill="1" applyBorder="1" applyAlignment="1">
      <alignment vertical="center"/>
    </xf>
    <xf numFmtId="0" fontId="27" fillId="16" borderId="40" xfId="0" applyFont="1" applyFill="1" applyBorder="1" applyAlignment="1">
      <alignment vertical="center"/>
    </xf>
    <xf numFmtId="0" fontId="27" fillId="16" borderId="22" xfId="0" applyFont="1" applyFill="1" applyBorder="1" applyAlignment="1">
      <alignment vertical="center"/>
    </xf>
    <xf numFmtId="0" fontId="27" fillId="16" borderId="22" xfId="0" applyFont="1" applyFill="1" applyBorder="1" applyAlignment="1">
      <alignment vertical="center" wrapText="1"/>
    </xf>
    <xf numFmtId="43" fontId="27" fillId="16" borderId="22" xfId="14" applyFont="1" applyFill="1" applyBorder="1" applyAlignment="1">
      <alignment vertical="center"/>
    </xf>
    <xf numFmtId="0" fontId="27" fillId="16" borderId="74" xfId="0" applyFont="1" applyFill="1" applyBorder="1" applyAlignment="1">
      <alignment vertical="center"/>
    </xf>
    <xf numFmtId="0" fontId="27" fillId="16" borderId="41" xfId="0" applyFont="1" applyFill="1" applyBorder="1" applyAlignment="1">
      <alignment vertical="center"/>
    </xf>
    <xf numFmtId="0" fontId="27" fillId="16" borderId="0" xfId="0" applyFont="1" applyFill="1" applyBorder="1" applyAlignment="1">
      <alignment vertical="center"/>
    </xf>
    <xf numFmtId="166" fontId="37" fillId="0" borderId="22" xfId="1" applyNumberFormat="1" applyFont="1" applyBorder="1" applyAlignment="1">
      <alignment horizontal="center" vertical="center" wrapText="1"/>
    </xf>
    <xf numFmtId="0" fontId="38" fillId="0" borderId="22" xfId="16" applyFont="1" applyFill="1" applyBorder="1" applyAlignment="1">
      <alignment horizontal="left" vertical="center" wrapText="1"/>
    </xf>
    <xf numFmtId="0" fontId="41" fillId="0" borderId="0" xfId="0" applyFont="1" applyBorder="1"/>
    <xf numFmtId="165" fontId="41" fillId="0" borderId="0" xfId="1" applyFont="1" applyBorder="1"/>
    <xf numFmtId="166" fontId="41" fillId="0" borderId="0" xfId="0" applyNumberFormat="1" applyFont="1" applyBorder="1"/>
    <xf numFmtId="43" fontId="41" fillId="0" borderId="0" xfId="0" applyNumberFormat="1" applyFont="1" applyBorder="1"/>
    <xf numFmtId="179" fontId="41" fillId="0" borderId="0" xfId="0" applyNumberFormat="1" applyFont="1" applyBorder="1"/>
    <xf numFmtId="0" fontId="64" fillId="0" borderId="0" xfId="0" applyFont="1"/>
    <xf numFmtId="0" fontId="37" fillId="0" borderId="41" xfId="0" applyFont="1" applyFill="1" applyBorder="1" applyAlignment="1">
      <alignment horizontal="center" vertical="center"/>
    </xf>
    <xf numFmtId="14" fontId="37" fillId="0" borderId="41" xfId="0" applyNumberFormat="1" applyFont="1" applyFill="1" applyBorder="1" applyAlignment="1">
      <alignment horizontal="center" vertical="center"/>
    </xf>
    <xf numFmtId="0" fontId="38" fillId="0" borderId="0" xfId="0" applyFont="1" applyFill="1" applyBorder="1" applyAlignment="1">
      <alignment vertical="top" wrapText="1"/>
    </xf>
    <xf numFmtId="165" fontId="41" fillId="0" borderId="22" xfId="1" applyFont="1" applyFill="1" applyBorder="1" applyAlignment="1">
      <alignment vertical="center" wrapText="1"/>
    </xf>
    <xf numFmtId="0" fontId="39" fillId="0" borderId="22" xfId="0" applyFont="1" applyBorder="1" applyAlignment="1">
      <alignment vertical="center" wrapText="1"/>
    </xf>
    <xf numFmtId="166" fontId="37" fillId="0" borderId="22" xfId="1" applyNumberFormat="1" applyFont="1" applyFill="1" applyBorder="1" applyAlignment="1">
      <alignment horizontal="right" vertical="center"/>
    </xf>
    <xf numFmtId="0" fontId="39" fillId="0" borderId="22" xfId="0" applyFont="1" applyFill="1" applyBorder="1" applyAlignment="1">
      <alignment horizontal="center" wrapText="1"/>
    </xf>
    <xf numFmtId="174" fontId="41" fillId="0" borderId="22" xfId="1" applyNumberFormat="1" applyFont="1" applyBorder="1" applyAlignment="1">
      <alignment horizontal="center" vertical="center" wrapText="1"/>
    </xf>
    <xf numFmtId="166" fontId="41" fillId="0" borderId="22" xfId="1" applyNumberFormat="1" applyFont="1" applyBorder="1" applyAlignment="1">
      <alignment horizontal="center" vertical="center"/>
    </xf>
    <xf numFmtId="0" fontId="47" fillId="0" borderId="0" xfId="16" applyFont="1" applyFill="1" applyBorder="1" applyAlignment="1">
      <alignment horizontal="left" vertical="top"/>
    </xf>
    <xf numFmtId="0" fontId="47" fillId="0" borderId="0" xfId="16" applyFont="1" applyFill="1" applyAlignment="1">
      <alignment horizontal="left" vertical="top"/>
    </xf>
    <xf numFmtId="166" fontId="41" fillId="0" borderId="22" xfId="0" applyNumberFormat="1" applyFont="1" applyBorder="1" applyAlignment="1">
      <alignment vertical="center"/>
    </xf>
    <xf numFmtId="166" fontId="41" fillId="0" borderId="22" xfId="1" applyNumberFormat="1" applyFont="1" applyFill="1" applyBorder="1" applyAlignment="1">
      <alignment horizontal="right" vertical="center"/>
    </xf>
    <xf numFmtId="175" fontId="41" fillId="0" borderId="0" xfId="0" applyNumberFormat="1" applyFont="1"/>
    <xf numFmtId="0" fontId="65" fillId="0" borderId="0" xfId="0" applyFont="1" applyBorder="1" applyAlignment="1">
      <alignment vertical="top" wrapText="1"/>
    </xf>
    <xf numFmtId="4" fontId="65" fillId="0" borderId="0" xfId="0" applyNumberFormat="1" applyFont="1" applyBorder="1"/>
    <xf numFmtId="0" fontId="66" fillId="0" borderId="0" xfId="0" applyFont="1" applyBorder="1"/>
    <xf numFmtId="0" fontId="39" fillId="0" borderId="0" xfId="0" applyFont="1" applyBorder="1" applyAlignment="1">
      <alignment horizontal="justify" vertical="top" wrapText="1"/>
    </xf>
    <xf numFmtId="0" fontId="66" fillId="0" borderId="0" xfId="0" applyFont="1" applyBorder="1" applyAlignment="1">
      <alignment vertical="top" wrapText="1"/>
    </xf>
    <xf numFmtId="179" fontId="66" fillId="0" borderId="0" xfId="0" applyNumberFormat="1" applyFont="1" applyBorder="1"/>
    <xf numFmtId="4" fontId="66" fillId="0" borderId="0" xfId="0" applyNumberFormat="1" applyFont="1" applyBorder="1" applyAlignment="1">
      <alignment vertical="top" wrapText="1"/>
    </xf>
    <xf numFmtId="0" fontId="39" fillId="0" borderId="0" xfId="0" applyFont="1" applyAlignment="1">
      <alignment vertical="center"/>
    </xf>
    <xf numFmtId="0" fontId="39" fillId="0" borderId="22" xfId="0" applyFont="1" applyFill="1" applyBorder="1" applyAlignment="1">
      <alignment wrapText="1"/>
    </xf>
    <xf numFmtId="0" fontId="41" fillId="0" borderId="0" xfId="0" applyFont="1" applyAlignment="1"/>
    <xf numFmtId="0" fontId="49" fillId="2" borderId="22" xfId="0" applyFont="1" applyFill="1" applyBorder="1" applyAlignment="1">
      <alignment vertical="center" wrapText="1"/>
    </xf>
    <xf numFmtId="0" fontId="41" fillId="0" borderId="22" xfId="0" applyFont="1" applyBorder="1" applyAlignment="1"/>
    <xf numFmtId="0" fontId="38" fillId="0" borderId="22" xfId="0" applyFont="1" applyBorder="1" applyAlignment="1"/>
    <xf numFmtId="0" fontId="39" fillId="0" borderId="22" xfId="0" applyFont="1" applyFill="1" applyBorder="1" applyAlignment="1">
      <alignment vertical="center" wrapText="1"/>
    </xf>
    <xf numFmtId="0" fontId="39" fillId="0" borderId="0" xfId="0" applyFont="1" applyBorder="1" applyAlignment="1">
      <alignment vertical="center"/>
    </xf>
    <xf numFmtId="0" fontId="0" fillId="0" borderId="0" xfId="0" applyFont="1" applyFill="1" applyBorder="1" applyAlignment="1">
      <alignment horizontal="center"/>
    </xf>
    <xf numFmtId="166" fontId="0" fillId="0" borderId="0" xfId="1" applyNumberFormat="1" applyFont="1" applyFill="1" applyAlignment="1">
      <alignment horizontal="center"/>
    </xf>
    <xf numFmtId="166" fontId="0" fillId="0" borderId="22" xfId="1" applyNumberFormat="1" applyFont="1" applyFill="1" applyBorder="1" applyAlignment="1">
      <alignment horizontal="center"/>
    </xf>
    <xf numFmtId="166" fontId="7" fillId="0" borderId="22" xfId="1" applyNumberFormat="1" applyFont="1" applyFill="1" applyBorder="1" applyAlignment="1">
      <alignment horizontal="center"/>
    </xf>
    <xf numFmtId="0" fontId="0" fillId="0" borderId="0" xfId="0" applyFont="1" applyFill="1" applyAlignment="1">
      <alignment horizontal="center" vertical="center"/>
    </xf>
    <xf numFmtId="0" fontId="0" fillId="0" borderId="0" xfId="0" applyFont="1" applyFill="1" applyAlignment="1">
      <alignment horizontal="center"/>
    </xf>
    <xf numFmtId="0" fontId="0" fillId="0" borderId="0" xfId="0" applyFont="1" applyFill="1" applyAlignment="1">
      <alignment wrapText="1"/>
    </xf>
    <xf numFmtId="0" fontId="0" fillId="0" borderId="0" xfId="0" applyFont="1" applyFill="1"/>
    <xf numFmtId="0" fontId="0" fillId="0" borderId="68" xfId="0" applyFont="1" applyFill="1" applyBorder="1" applyAlignment="1">
      <alignment vertical="center"/>
    </xf>
    <xf numFmtId="0" fontId="0" fillId="0" borderId="0" xfId="0" applyFont="1" applyFill="1" applyAlignment="1">
      <alignment vertical="center"/>
    </xf>
    <xf numFmtId="0" fontId="0" fillId="0" borderId="22" xfId="0" applyFont="1" applyFill="1" applyBorder="1" applyAlignment="1">
      <alignment wrapText="1"/>
    </xf>
    <xf numFmtId="0" fontId="0" fillId="0" borderId="41" xfId="0" applyFont="1" applyFill="1" applyBorder="1"/>
    <xf numFmtId="0" fontId="0" fillId="0" borderId="44" xfId="0" applyFont="1" applyFill="1" applyBorder="1"/>
    <xf numFmtId="0" fontId="0" fillId="0" borderId="22" xfId="0" applyFont="1" applyFill="1" applyBorder="1"/>
    <xf numFmtId="0" fontId="0" fillId="0" borderId="43" xfId="0" applyFont="1" applyFill="1" applyBorder="1"/>
    <xf numFmtId="0" fontId="7" fillId="0" borderId="22" xfId="0" applyFont="1" applyFill="1" applyBorder="1"/>
    <xf numFmtId="0" fontId="7" fillId="0" borderId="0" xfId="0" applyFont="1" applyFill="1"/>
    <xf numFmtId="0" fontId="0" fillId="0" borderId="74" xfId="0" applyFont="1" applyFill="1" applyBorder="1"/>
    <xf numFmtId="0" fontId="0" fillId="0" borderId="0" xfId="0" applyFont="1" applyFill="1" applyBorder="1" applyAlignment="1">
      <alignment horizontal="center" vertical="center"/>
    </xf>
    <xf numFmtId="0" fontId="7" fillId="0" borderId="0" xfId="0" applyFont="1" applyFill="1" applyBorder="1" applyAlignment="1">
      <alignment horizontal="center" vertical="center"/>
    </xf>
    <xf numFmtId="3" fontId="7" fillId="0" borderId="0" xfId="0" applyNumberFormat="1" applyFont="1" applyFill="1" applyBorder="1" applyAlignment="1">
      <alignment horizontal="center"/>
    </xf>
    <xf numFmtId="0" fontId="0" fillId="0" borderId="0" xfId="0" applyNumberFormat="1" applyFont="1" applyFill="1" applyBorder="1"/>
    <xf numFmtId="180" fontId="0" fillId="0" borderId="0" xfId="0" applyNumberFormat="1" applyFont="1" applyFill="1" applyBorder="1"/>
    <xf numFmtId="170" fontId="0" fillId="0" borderId="0" xfId="13" applyNumberFormat="1" applyFont="1" applyFill="1" applyBorder="1"/>
    <xf numFmtId="0" fontId="0" fillId="0" borderId="0" xfId="0" applyFont="1" applyFill="1" applyBorder="1"/>
    <xf numFmtId="0" fontId="0" fillId="0" borderId="0" xfId="0" applyFont="1" applyFill="1" applyBorder="1" applyAlignment="1">
      <alignment horizontal="right"/>
    </xf>
    <xf numFmtId="166" fontId="1" fillId="0" borderId="22" xfId="1" applyNumberFormat="1" applyFont="1" applyFill="1" applyBorder="1" applyAlignment="1">
      <alignment horizontal="center" wrapText="1"/>
    </xf>
    <xf numFmtId="166" fontId="1" fillId="0" borderId="22" xfId="1" applyNumberFormat="1" applyFont="1" applyFill="1" applyBorder="1" applyAlignment="1">
      <alignment horizontal="center"/>
    </xf>
    <xf numFmtId="0" fontId="0" fillId="0" borderId="40" xfId="0" applyFont="1" applyFill="1" applyBorder="1" applyAlignment="1">
      <alignment horizontal="center" vertical="top"/>
    </xf>
    <xf numFmtId="166" fontId="1" fillId="0" borderId="22" xfId="1" applyNumberFormat="1" applyFont="1" applyFill="1" applyBorder="1" applyAlignment="1">
      <alignment horizontal="center" vertical="top" wrapText="1"/>
    </xf>
    <xf numFmtId="166" fontId="1" fillId="0" borderId="22" xfId="1" applyNumberFormat="1" applyFont="1" applyFill="1" applyBorder="1" applyAlignment="1">
      <alignment horizontal="center" vertical="top"/>
    </xf>
    <xf numFmtId="0" fontId="0" fillId="0" borderId="41" xfId="0" applyFont="1" applyFill="1" applyBorder="1" applyAlignment="1">
      <alignment vertical="top"/>
    </xf>
    <xf numFmtId="0" fontId="0" fillId="0" borderId="0" xfId="0" applyFont="1" applyFill="1" applyAlignment="1">
      <alignment vertical="top"/>
    </xf>
    <xf numFmtId="0" fontId="0" fillId="0" borderId="41" xfId="0" applyFont="1" applyFill="1" applyBorder="1" applyAlignment="1">
      <alignment vertical="top" wrapText="1"/>
    </xf>
    <xf numFmtId="0" fontId="2" fillId="0" borderId="22" xfId="0" applyFont="1" applyFill="1" applyBorder="1" applyAlignment="1">
      <alignment horizontal="center" vertical="top"/>
    </xf>
    <xf numFmtId="166" fontId="7" fillId="0" borderId="22" xfId="1" applyNumberFormat="1" applyFont="1" applyFill="1" applyBorder="1" applyAlignment="1">
      <alignment horizontal="center" vertical="top"/>
    </xf>
    <xf numFmtId="166" fontId="0" fillId="0" borderId="22" xfId="1" applyNumberFormat="1" applyFont="1" applyFill="1" applyBorder="1" applyAlignment="1">
      <alignment horizontal="center" vertical="top"/>
    </xf>
    <xf numFmtId="3" fontId="57" fillId="0" borderId="0" xfId="0" applyNumberFormat="1" applyFont="1"/>
    <xf numFmtId="43" fontId="41" fillId="0" borderId="0" xfId="0" applyNumberFormat="1" applyFont="1"/>
    <xf numFmtId="174" fontId="41" fillId="0" borderId="0" xfId="0" applyNumberFormat="1" applyFont="1"/>
    <xf numFmtId="166" fontId="0" fillId="0" borderId="0" xfId="1" applyNumberFormat="1" applyFont="1" applyFill="1" applyAlignment="1"/>
    <xf numFmtId="166" fontId="1" fillId="0" borderId="22" xfId="1" applyNumberFormat="1" applyFont="1" applyFill="1" applyBorder="1" applyAlignment="1">
      <alignment vertical="top"/>
    </xf>
    <xf numFmtId="166" fontId="1" fillId="0" borderId="22" xfId="1" applyNumberFormat="1" applyFont="1" applyFill="1" applyBorder="1" applyAlignment="1"/>
    <xf numFmtId="166" fontId="7" fillId="0" borderId="22" xfId="1" applyNumberFormat="1" applyFont="1" applyFill="1" applyBorder="1" applyAlignment="1">
      <alignment vertical="top"/>
    </xf>
    <xf numFmtId="166" fontId="0" fillId="0" borderId="22" xfId="1" applyNumberFormat="1" applyFont="1" applyFill="1" applyBorder="1" applyAlignment="1"/>
    <xf numFmtId="166" fontId="0" fillId="0" borderId="22" xfId="1" applyNumberFormat="1" applyFont="1" applyFill="1" applyBorder="1" applyAlignment="1">
      <alignment vertical="center"/>
    </xf>
    <xf numFmtId="166" fontId="27" fillId="0" borderId="22" xfId="1" applyNumberFormat="1" applyFont="1" applyFill="1" applyBorder="1" applyAlignment="1">
      <alignment vertical="center"/>
    </xf>
    <xf numFmtId="166" fontId="27" fillId="0" borderId="22" xfId="1" applyNumberFormat="1" applyFont="1" applyFill="1" applyBorder="1" applyAlignment="1"/>
    <xf numFmtId="166" fontId="27" fillId="0" borderId="22" xfId="1" applyNumberFormat="1" applyFont="1" applyFill="1" applyBorder="1" applyAlignment="1">
      <alignment vertical="top"/>
    </xf>
    <xf numFmtId="0" fontId="7" fillId="0" borderId="87" xfId="0" applyFont="1" applyFill="1" applyBorder="1" applyAlignment="1">
      <alignment vertical="center" wrapText="1"/>
    </xf>
    <xf numFmtId="0" fontId="0" fillId="0" borderId="73" xfId="0" applyFont="1" applyFill="1" applyBorder="1" applyAlignment="1">
      <alignment vertical="top" wrapText="1"/>
    </xf>
    <xf numFmtId="0" fontId="0" fillId="0" borderId="73" xfId="0" applyFont="1" applyFill="1" applyBorder="1" applyAlignment="1">
      <alignment wrapText="1"/>
    </xf>
    <xf numFmtId="0" fontId="0" fillId="0" borderId="83" xfId="0" applyFont="1" applyFill="1" applyBorder="1" applyAlignment="1">
      <alignment wrapText="1"/>
    </xf>
    <xf numFmtId="0" fontId="7" fillId="0" borderId="73" xfId="0" applyFont="1" applyFill="1" applyBorder="1" applyAlignment="1">
      <alignment wrapText="1"/>
    </xf>
    <xf numFmtId="43" fontId="0" fillId="0" borderId="73" xfId="0" applyNumberFormat="1" applyFont="1" applyFill="1" applyBorder="1"/>
    <xf numFmtId="166" fontId="1" fillId="0" borderId="41" xfId="1" applyNumberFormat="1" applyFont="1" applyFill="1" applyBorder="1" applyAlignment="1">
      <alignment vertical="top"/>
    </xf>
    <xf numFmtId="166" fontId="1" fillId="0" borderId="41" xfId="1" applyNumberFormat="1" applyFont="1" applyFill="1" applyBorder="1" applyAlignment="1"/>
    <xf numFmtId="166" fontId="0" fillId="0" borderId="41" xfId="1" applyNumberFormat="1" applyFont="1" applyFill="1" applyBorder="1" applyAlignment="1">
      <alignment vertical="center"/>
    </xf>
    <xf numFmtId="166" fontId="7" fillId="0" borderId="41" xfId="1" applyNumberFormat="1" applyFont="1" applyFill="1" applyBorder="1" applyAlignment="1">
      <alignment vertical="top"/>
    </xf>
    <xf numFmtId="0" fontId="0" fillId="0" borderId="40" xfId="0" applyFont="1" applyFill="1" applyBorder="1" applyAlignment="1">
      <alignment horizontal="center" vertical="center"/>
    </xf>
    <xf numFmtId="166" fontId="0" fillId="0" borderId="41" xfId="1" applyNumberFormat="1" applyFont="1" applyFill="1" applyBorder="1" applyAlignment="1"/>
    <xf numFmtId="0" fontId="0" fillId="0" borderId="42" xfId="0" applyFont="1" applyFill="1" applyBorder="1" applyAlignment="1">
      <alignment horizontal="center" vertical="center"/>
    </xf>
    <xf numFmtId="0" fontId="0" fillId="0" borderId="43" xfId="0" applyFont="1" applyFill="1" applyBorder="1" applyAlignment="1">
      <alignment horizontal="center" vertical="center"/>
    </xf>
    <xf numFmtId="166" fontId="7" fillId="0" borderId="43" xfId="1" applyNumberFormat="1" applyFont="1" applyFill="1" applyBorder="1" applyAlignment="1">
      <alignment horizontal="center"/>
    </xf>
    <xf numFmtId="166" fontId="0" fillId="0" borderId="43" xfId="1" applyNumberFormat="1" applyFont="1" applyFill="1" applyBorder="1" applyAlignment="1">
      <alignment horizontal="center"/>
    </xf>
    <xf numFmtId="0" fontId="41" fillId="0" borderId="40" xfId="16" applyFont="1" applyFill="1" applyBorder="1" applyAlignment="1">
      <alignment horizontal="left" vertical="center"/>
    </xf>
    <xf numFmtId="167" fontId="41" fillId="0" borderId="22" xfId="0" applyNumberFormat="1" applyFont="1" applyFill="1" applyBorder="1" applyAlignment="1">
      <alignment horizontal="left" vertical="center"/>
    </xf>
    <xf numFmtId="167" fontId="39" fillId="0" borderId="41" xfId="14" applyNumberFormat="1" applyFont="1" applyBorder="1" applyAlignment="1">
      <alignment horizontal="left" vertical="center"/>
    </xf>
    <xf numFmtId="0" fontId="39" fillId="0" borderId="22" xfId="0" applyFont="1" applyBorder="1" applyAlignment="1">
      <alignment horizontal="left" vertical="center" wrapText="1"/>
    </xf>
    <xf numFmtId="167" fontId="0" fillId="0" borderId="22" xfId="14" applyNumberFormat="1" applyFont="1" applyBorder="1" applyAlignment="1">
      <alignment horizontal="left" vertical="center"/>
    </xf>
    <xf numFmtId="166" fontId="38" fillId="0" borderId="22" xfId="1" applyNumberFormat="1" applyFont="1" applyFill="1" applyBorder="1" applyAlignment="1">
      <alignment horizontal="left" vertical="center"/>
    </xf>
    <xf numFmtId="166" fontId="38" fillId="0" borderId="41" xfId="1" applyNumberFormat="1" applyFont="1" applyFill="1" applyBorder="1" applyAlignment="1">
      <alignment horizontal="left" vertical="center"/>
    </xf>
    <xf numFmtId="0" fontId="38" fillId="3" borderId="40" xfId="0" applyFont="1" applyFill="1" applyBorder="1" applyAlignment="1">
      <alignment horizontal="left" vertical="center" wrapText="1"/>
    </xf>
    <xf numFmtId="0" fontId="38" fillId="3" borderId="22" xfId="0" applyFont="1" applyFill="1" applyBorder="1" applyAlignment="1">
      <alignment horizontal="left" vertical="center" wrapText="1"/>
    </xf>
    <xf numFmtId="165" fontId="38" fillId="3" borderId="22" xfId="1" applyFont="1" applyFill="1" applyBorder="1" applyAlignment="1">
      <alignment horizontal="left" vertical="center" wrapText="1"/>
    </xf>
    <xf numFmtId="0" fontId="38" fillId="3" borderId="41" xfId="0" applyFont="1" applyFill="1" applyBorder="1" applyAlignment="1">
      <alignment horizontal="left" vertical="center" wrapText="1"/>
    </xf>
    <xf numFmtId="0" fontId="47" fillId="0" borderId="40" xfId="16" applyFont="1" applyFill="1" applyBorder="1" applyAlignment="1">
      <alignment horizontal="left" vertical="center"/>
    </xf>
    <xf numFmtId="166" fontId="39" fillId="0" borderId="22" xfId="1" applyNumberFormat="1" applyFont="1" applyBorder="1" applyAlignment="1">
      <alignment horizontal="left" vertical="center" wrapText="1"/>
    </xf>
    <xf numFmtId="166" fontId="47" fillId="0" borderId="41" xfId="1" applyNumberFormat="1" applyFont="1" applyFill="1" applyBorder="1" applyAlignment="1">
      <alignment horizontal="left" vertical="center"/>
    </xf>
    <xf numFmtId="0" fontId="2" fillId="0" borderId="22" xfId="0" applyFont="1" applyFill="1" applyBorder="1" applyAlignment="1">
      <alignment horizontal="left" vertical="top" wrapText="1"/>
    </xf>
    <xf numFmtId="0" fontId="0" fillId="0" borderId="0" xfId="0" applyFont="1" applyFill="1" applyAlignment="1">
      <alignment horizontal="left" wrapText="1"/>
    </xf>
    <xf numFmtId="0" fontId="0" fillId="0" borderId="22" xfId="0" applyFont="1" applyFill="1" applyBorder="1" applyAlignment="1">
      <alignment horizontal="left" vertical="top" wrapText="1"/>
    </xf>
    <xf numFmtId="0" fontId="0" fillId="0" borderId="22" xfId="0" applyFill="1" applyBorder="1" applyAlignment="1">
      <alignment horizontal="left" vertical="top" wrapText="1"/>
    </xf>
    <xf numFmtId="0" fontId="0" fillId="0" borderId="22" xfId="0" applyFont="1" applyFill="1" applyBorder="1" applyAlignment="1">
      <alignment horizontal="left" vertical="center" wrapText="1"/>
    </xf>
    <xf numFmtId="0" fontId="7" fillId="0" borderId="22" xfId="0" applyFont="1" applyFill="1" applyBorder="1" applyAlignment="1">
      <alignment horizontal="left" vertical="top" wrapText="1"/>
    </xf>
    <xf numFmtId="0" fontId="7" fillId="0" borderId="22" xfId="0" applyFont="1" applyFill="1" applyBorder="1" applyAlignment="1">
      <alignment horizontal="left" vertical="center" wrapText="1"/>
    </xf>
    <xf numFmtId="0" fontId="7" fillId="0" borderId="43" xfId="0" applyFont="1" applyFill="1" applyBorder="1" applyAlignment="1">
      <alignment horizontal="left" vertical="center" wrapText="1"/>
    </xf>
    <xf numFmtId="166" fontId="7" fillId="0" borderId="43" xfId="1" applyNumberFormat="1" applyFont="1" applyFill="1" applyBorder="1" applyAlignment="1"/>
    <xf numFmtId="166" fontId="7" fillId="0" borderId="44" xfId="1" applyNumberFormat="1" applyFont="1" applyFill="1" applyBorder="1" applyAlignment="1"/>
    <xf numFmtId="0" fontId="8" fillId="0" borderId="41" xfId="0" applyFont="1" applyBorder="1" applyAlignment="1">
      <alignment wrapText="1"/>
    </xf>
    <xf numFmtId="0" fontId="49" fillId="0" borderId="22" xfId="0" applyFont="1" applyFill="1" applyBorder="1" applyAlignment="1">
      <alignment horizontal="center" vertical="center" wrapText="1"/>
    </xf>
    <xf numFmtId="166" fontId="38" fillId="0" borderId="22" xfId="1" applyNumberFormat="1" applyFont="1" applyBorder="1" applyAlignment="1">
      <alignment horizontal="right" vertical="center"/>
    </xf>
    <xf numFmtId="166" fontId="38" fillId="0" borderId="22" xfId="1" applyNumberFormat="1" applyFont="1" applyBorder="1" applyAlignment="1">
      <alignment horizontal="right" vertical="center" wrapText="1"/>
    </xf>
    <xf numFmtId="166" fontId="38" fillId="0" borderId="22" xfId="1" applyNumberFormat="1" applyFont="1" applyBorder="1" applyAlignment="1">
      <alignment horizontal="center" vertical="center"/>
    </xf>
    <xf numFmtId="166" fontId="38" fillId="0" borderId="43" xfId="1" applyNumberFormat="1" applyFont="1" applyBorder="1" applyAlignment="1">
      <alignment horizontal="right" vertical="center" wrapText="1"/>
    </xf>
    <xf numFmtId="166" fontId="38" fillId="0" borderId="43" xfId="1" applyNumberFormat="1" applyFont="1" applyBorder="1" applyAlignment="1">
      <alignment horizontal="center" vertical="center"/>
    </xf>
    <xf numFmtId="0" fontId="49" fillId="0" borderId="0" xfId="0" applyFont="1" applyBorder="1" applyAlignment="1">
      <alignment vertical="center"/>
    </xf>
    <xf numFmtId="0" fontId="41" fillId="0" borderId="22" xfId="0" applyFont="1" applyBorder="1" applyAlignment="1">
      <alignment horizontal="center" vertical="center" wrapText="1"/>
    </xf>
    <xf numFmtId="0" fontId="47" fillId="0" borderId="22" xfId="0" applyFont="1" applyBorder="1" applyAlignment="1">
      <alignment horizontal="center" vertical="center"/>
    </xf>
    <xf numFmtId="0" fontId="7" fillId="6" borderId="45" xfId="0" applyFont="1" applyFill="1" applyBorder="1" applyAlignment="1">
      <alignment horizontal="center" vertical="top"/>
    </xf>
    <xf numFmtId="0" fontId="7" fillId="6" borderId="46" xfId="0" applyFont="1" applyFill="1" applyBorder="1" applyAlignment="1">
      <alignment horizontal="left" vertical="top" wrapText="1"/>
    </xf>
    <xf numFmtId="0" fontId="7" fillId="6" borderId="46" xfId="0" applyFont="1" applyFill="1" applyBorder="1" applyAlignment="1">
      <alignment horizontal="center" vertical="top"/>
    </xf>
    <xf numFmtId="166" fontId="7" fillId="6" borderId="46" xfId="1" applyNumberFormat="1" applyFont="1" applyFill="1" applyBorder="1" applyAlignment="1">
      <alignment horizontal="center" vertical="top" wrapText="1"/>
    </xf>
    <xf numFmtId="166" fontId="7" fillId="6" borderId="47" xfId="1" applyNumberFormat="1" applyFont="1" applyFill="1" applyBorder="1" applyAlignment="1">
      <alignment horizontal="center" vertical="top" wrapText="1"/>
    </xf>
    <xf numFmtId="0" fontId="41" fillId="0" borderId="22" xfId="16" applyFont="1" applyFill="1" applyBorder="1" applyAlignment="1">
      <alignment horizontal="left" vertical="center"/>
    </xf>
    <xf numFmtId="164" fontId="39" fillId="0" borderId="22" xfId="13" applyFont="1" applyBorder="1" applyAlignment="1">
      <alignment horizontal="left" vertical="center" wrapText="1"/>
    </xf>
    <xf numFmtId="167" fontId="39" fillId="0" borderId="22" xfId="14" applyNumberFormat="1" applyFont="1" applyBorder="1" applyAlignment="1">
      <alignment horizontal="left" vertical="center"/>
    </xf>
    <xf numFmtId="165" fontId="41" fillId="0" borderId="22" xfId="1" applyFont="1" applyFill="1" applyBorder="1" applyAlignment="1">
      <alignment horizontal="left" vertical="center"/>
    </xf>
    <xf numFmtId="0" fontId="38" fillId="0" borderId="22" xfId="16" applyFont="1" applyFill="1" applyBorder="1" applyAlignment="1">
      <alignment horizontal="left" vertical="center"/>
    </xf>
    <xf numFmtId="0" fontId="58" fillId="0" borderId="22" xfId="0" applyFont="1" applyBorder="1" applyAlignment="1">
      <alignment horizontal="left" vertical="center"/>
    </xf>
    <xf numFmtId="165" fontId="41" fillId="0" borderId="41" xfId="1" applyFont="1" applyFill="1" applyBorder="1" applyAlignment="1">
      <alignment horizontal="left" vertical="center"/>
    </xf>
    <xf numFmtId="0" fontId="41" fillId="0" borderId="40" xfId="0" applyFont="1" applyFill="1" applyBorder="1" applyAlignment="1">
      <alignment horizontal="center" vertical="center" wrapText="1"/>
    </xf>
    <xf numFmtId="164" fontId="41" fillId="0" borderId="41" xfId="0" applyNumberFormat="1" applyFont="1" applyFill="1" applyBorder="1" applyAlignment="1">
      <alignment horizontal="center" vertical="center" wrapText="1"/>
    </xf>
    <xf numFmtId="0" fontId="37" fillId="0" borderId="22" xfId="0" applyFont="1" applyFill="1" applyBorder="1" applyAlignment="1">
      <alignment vertical="center"/>
    </xf>
    <xf numFmtId="0" fontId="37" fillId="0" borderId="22" xfId="0" applyFont="1" applyFill="1" applyBorder="1" applyAlignment="1">
      <alignment vertical="center" wrapText="1"/>
    </xf>
    <xf numFmtId="0" fontId="37" fillId="0" borderId="40" xfId="0" applyFont="1" applyBorder="1" applyAlignment="1">
      <alignment vertical="center"/>
    </xf>
    <xf numFmtId="0" fontId="36" fillId="0" borderId="22" xfId="0" applyFont="1" applyBorder="1" applyAlignment="1">
      <alignment vertical="center"/>
    </xf>
    <xf numFmtId="0" fontId="37" fillId="0" borderId="22" xfId="0" applyFont="1" applyBorder="1" applyAlignment="1">
      <alignment vertical="center"/>
    </xf>
    <xf numFmtId="164" fontId="36" fillId="0" borderId="22" xfId="0" applyNumberFormat="1" applyFont="1" applyBorder="1" applyAlignment="1">
      <alignment vertical="center"/>
    </xf>
    <xf numFmtId="164" fontId="36" fillId="0" borderId="41" xfId="0" applyNumberFormat="1" applyFont="1" applyBorder="1" applyAlignment="1">
      <alignment vertical="center"/>
    </xf>
    <xf numFmtId="164" fontId="2" fillId="0" borderId="22" xfId="13" applyFont="1" applyFill="1" applyBorder="1" applyAlignment="1">
      <alignment vertical="center"/>
    </xf>
    <xf numFmtId="170" fontId="0" fillId="0" borderId="22" xfId="13" applyNumberFormat="1" applyFont="1" applyFill="1" applyBorder="1"/>
    <xf numFmtId="0" fontId="3" fillId="0" borderId="1" xfId="0" applyFont="1" applyFill="1" applyBorder="1" applyAlignment="1">
      <alignment horizontal="left"/>
    </xf>
    <xf numFmtId="0" fontId="2" fillId="0" borderId="0" xfId="0" applyFont="1" applyFill="1" applyAlignment="1">
      <alignment horizontal="left"/>
    </xf>
    <xf numFmtId="0" fontId="11" fillId="3" borderId="0" xfId="0" applyFont="1" applyFill="1" applyAlignment="1">
      <alignment horizontal="center"/>
    </xf>
    <xf numFmtId="0" fontId="3" fillId="4" borderId="0" xfId="0" applyFont="1" applyFill="1" applyAlignment="1">
      <alignment horizontal="center"/>
    </xf>
    <xf numFmtId="0" fontId="5" fillId="4" borderId="0" xfId="0" applyFont="1" applyFill="1" applyBorder="1" applyAlignment="1">
      <alignment horizontal="center"/>
    </xf>
    <xf numFmtId="0" fontId="3" fillId="6" borderId="0" xfId="0" applyFont="1" applyFill="1" applyBorder="1" applyAlignment="1">
      <alignment horizontal="center" vertical="top"/>
    </xf>
    <xf numFmtId="0" fontId="21" fillId="0" borderId="0" xfId="0" applyFont="1" applyFill="1" applyBorder="1" applyAlignment="1">
      <alignment horizontal="center" vertical="center" wrapText="1"/>
    </xf>
    <xf numFmtId="0" fontId="2" fillId="0" borderId="17" xfId="0" applyFont="1" applyFill="1" applyBorder="1" applyAlignment="1">
      <alignment horizontal="left"/>
    </xf>
    <xf numFmtId="0" fontId="2" fillId="0" borderId="18" xfId="0" applyFont="1" applyFill="1" applyBorder="1" applyAlignment="1">
      <alignment horizontal="left"/>
    </xf>
    <xf numFmtId="0" fontId="2" fillId="0" borderId="20" xfId="0" applyFont="1" applyFill="1" applyBorder="1" applyAlignment="1">
      <alignment horizontal="left"/>
    </xf>
    <xf numFmtId="0" fontId="2" fillId="0" borderId="0" xfId="0" applyFont="1" applyFill="1" applyBorder="1" applyAlignment="1">
      <alignment horizontal="left"/>
    </xf>
    <xf numFmtId="0" fontId="2" fillId="0" borderId="28" xfId="0" applyFont="1" applyFill="1" applyBorder="1" applyAlignment="1">
      <alignment horizontal="left"/>
    </xf>
    <xf numFmtId="0" fontId="2" fillId="0" borderId="9" xfId="0" applyFont="1" applyFill="1" applyBorder="1" applyAlignment="1">
      <alignment horizontal="left"/>
    </xf>
    <xf numFmtId="0" fontId="35" fillId="7" borderId="74" xfId="0" applyFont="1" applyFill="1" applyBorder="1" applyAlignment="1">
      <alignment horizontal="center" vertical="top"/>
    </xf>
    <xf numFmtId="0" fontId="35" fillId="7" borderId="10" xfId="0" applyFont="1" applyFill="1" applyBorder="1" applyAlignment="1">
      <alignment horizontal="center" vertical="top"/>
    </xf>
    <xf numFmtId="0" fontId="35" fillId="7" borderId="73" xfId="0" applyFont="1" applyFill="1" applyBorder="1" applyAlignment="1">
      <alignment horizontal="center" vertical="top"/>
    </xf>
    <xf numFmtId="0" fontId="35" fillId="7" borderId="0" xfId="0" applyFont="1" applyFill="1" applyAlignment="1">
      <alignment horizontal="center" vertical="top"/>
    </xf>
    <xf numFmtId="0" fontId="35" fillId="7" borderId="0" xfId="0" applyFont="1" applyFill="1" applyAlignment="1">
      <alignment horizontal="left" vertical="center"/>
    </xf>
    <xf numFmtId="0" fontId="3" fillId="0" borderId="0" xfId="0" applyFont="1" applyAlignment="1">
      <alignment horizontal="center"/>
    </xf>
    <xf numFmtId="0" fontId="3" fillId="4" borderId="0" xfId="0" applyFont="1" applyFill="1" applyBorder="1" applyAlignment="1">
      <alignment horizontal="center"/>
    </xf>
    <xf numFmtId="0" fontId="2" fillId="0" borderId="0" xfId="0" applyFont="1" applyAlignment="1">
      <alignment horizontal="center"/>
    </xf>
    <xf numFmtId="0" fontId="11" fillId="3" borderId="0" xfId="0" applyFont="1" applyFill="1" applyBorder="1" applyAlignment="1">
      <alignment horizontal="center"/>
    </xf>
    <xf numFmtId="0" fontId="2" fillId="0" borderId="0" xfId="0" applyFont="1" applyBorder="1" applyAlignment="1">
      <alignment horizontal="center"/>
    </xf>
    <xf numFmtId="0" fontId="3" fillId="0" borderId="0" xfId="0" applyFont="1" applyBorder="1" applyAlignment="1">
      <alignment horizontal="right"/>
    </xf>
    <xf numFmtId="173" fontId="36" fillId="0" borderId="0" xfId="1" applyNumberFormat="1" applyFont="1" applyFill="1" applyAlignment="1">
      <alignment horizontal="left" vertical="top" wrapText="1"/>
    </xf>
    <xf numFmtId="0" fontId="36" fillId="6" borderId="17" xfId="0" applyFont="1" applyFill="1" applyBorder="1" applyAlignment="1">
      <alignment horizontal="center" vertical="top"/>
    </xf>
    <xf numFmtId="0" fontId="36" fillId="6" borderId="18" xfId="0" applyFont="1" applyFill="1" applyBorder="1" applyAlignment="1">
      <alignment horizontal="center" vertical="top"/>
    </xf>
    <xf numFmtId="0" fontId="36" fillId="6" borderId="19" xfId="0" applyFont="1" applyFill="1" applyBorder="1" applyAlignment="1">
      <alignment horizontal="center" vertical="top"/>
    </xf>
    <xf numFmtId="0" fontId="54" fillId="0" borderId="17" xfId="0" applyFont="1" applyFill="1" applyBorder="1" applyAlignment="1">
      <alignment horizontal="center" vertical="top" wrapText="1"/>
    </xf>
    <xf numFmtId="0" fontId="54" fillId="0" borderId="18" xfId="0" applyFont="1" applyFill="1" applyBorder="1" applyAlignment="1">
      <alignment horizontal="center" vertical="top" wrapText="1"/>
    </xf>
    <xf numFmtId="0" fontId="54" fillId="0" borderId="19" xfId="0" applyFont="1" applyFill="1" applyBorder="1" applyAlignment="1">
      <alignment horizontal="center" vertical="top" wrapText="1"/>
    </xf>
    <xf numFmtId="0" fontId="55" fillId="3" borderId="6" xfId="0" applyFont="1" applyFill="1" applyBorder="1" applyAlignment="1">
      <alignment horizontal="center" vertical="center" wrapText="1"/>
    </xf>
    <xf numFmtId="0" fontId="55" fillId="3" borderId="7" xfId="0" applyFont="1" applyFill="1" applyBorder="1" applyAlignment="1">
      <alignment horizontal="center" vertical="center" wrapText="1"/>
    </xf>
    <xf numFmtId="0" fontId="55" fillId="3" borderId="3" xfId="0" applyFont="1" applyFill="1" applyBorder="1" applyAlignment="1">
      <alignment horizontal="center" vertical="center" wrapText="1"/>
    </xf>
    <xf numFmtId="0" fontId="37" fillId="0" borderId="40" xfId="0" applyFont="1" applyFill="1" applyBorder="1" applyAlignment="1">
      <alignment horizontal="left" vertical="center" wrapText="1"/>
    </xf>
    <xf numFmtId="0" fontId="37" fillId="0" borderId="22" xfId="0" applyFont="1" applyFill="1" applyBorder="1" applyAlignment="1">
      <alignment horizontal="left" vertical="center" wrapText="1"/>
    </xf>
    <xf numFmtId="0" fontId="37" fillId="0" borderId="40" xfId="0" applyFont="1" applyFill="1" applyBorder="1" applyAlignment="1">
      <alignment horizontal="left" vertical="center"/>
    </xf>
    <xf numFmtId="0" fontId="37" fillId="0" borderId="22" xfId="0" applyFont="1" applyFill="1" applyBorder="1" applyAlignment="1">
      <alignment horizontal="left" vertical="center"/>
    </xf>
    <xf numFmtId="0" fontId="37" fillId="0" borderId="60" xfId="0" applyFont="1" applyFill="1" applyBorder="1" applyAlignment="1">
      <alignment horizontal="center" vertical="top"/>
    </xf>
    <xf numFmtId="0" fontId="37" fillId="0" borderId="79" xfId="0" applyFont="1" applyFill="1" applyBorder="1" applyAlignment="1">
      <alignment horizontal="center" vertical="top"/>
    </xf>
    <xf numFmtId="0" fontId="37" fillId="0" borderId="12" xfId="0" applyFont="1" applyFill="1" applyBorder="1" applyAlignment="1">
      <alignment horizontal="center" vertical="top"/>
    </xf>
    <xf numFmtId="0" fontId="37" fillId="0" borderId="22" xfId="0" applyFont="1" applyFill="1" applyBorder="1" applyAlignment="1">
      <alignment horizontal="center" vertical="top" wrapText="1"/>
    </xf>
    <xf numFmtId="0" fontId="55" fillId="0" borderId="13" xfId="0" applyFont="1" applyFill="1" applyBorder="1" applyAlignment="1">
      <alignment horizontal="center" vertical="top" wrapText="1"/>
    </xf>
    <xf numFmtId="0" fontId="55" fillId="0" borderId="14" xfId="0" applyFont="1" applyFill="1" applyBorder="1" applyAlignment="1">
      <alignment horizontal="center" vertical="top"/>
    </xf>
    <xf numFmtId="0" fontId="55" fillId="0" borderId="25" xfId="0" applyFont="1" applyFill="1" applyBorder="1" applyAlignment="1">
      <alignment horizontal="center" vertical="top"/>
    </xf>
    <xf numFmtId="0" fontId="49" fillId="0" borderId="22" xfId="0" applyFont="1" applyBorder="1" applyAlignment="1">
      <alignment horizontal="left" vertical="top" wrapText="1" shrinkToFit="1"/>
    </xf>
    <xf numFmtId="0" fontId="49" fillId="0" borderId="22" xfId="0" applyFont="1" applyFill="1" applyBorder="1" applyAlignment="1">
      <alignment horizontal="left" vertical="top" wrapText="1" shrinkToFit="1"/>
    </xf>
    <xf numFmtId="0" fontId="36" fillId="6" borderId="6" xfId="0" applyFont="1" applyFill="1" applyBorder="1" applyAlignment="1">
      <alignment horizontal="center" vertical="center" wrapText="1"/>
    </xf>
    <xf numFmtId="0" fontId="36" fillId="6" borderId="7"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37" fillId="0" borderId="22" xfId="0" applyFont="1" applyFill="1" applyBorder="1" applyAlignment="1">
      <alignment horizontal="left" vertical="top" wrapText="1"/>
    </xf>
    <xf numFmtId="0" fontId="54" fillId="0" borderId="62" xfId="0" applyFont="1" applyFill="1" applyBorder="1" applyAlignment="1">
      <alignment horizontal="center" vertical="top" wrapText="1"/>
    </xf>
    <xf numFmtId="0" fontId="0" fillId="0" borderId="69" xfId="0" applyBorder="1"/>
    <xf numFmtId="0" fontId="37" fillId="0" borderId="74" xfId="0" applyFont="1" applyFill="1" applyBorder="1" applyAlignment="1">
      <alignment horizontal="left" vertical="top"/>
    </xf>
    <xf numFmtId="0" fontId="37" fillId="0" borderId="73" xfId="0" applyFont="1" applyFill="1" applyBorder="1" applyAlignment="1">
      <alignment horizontal="left" vertical="top"/>
    </xf>
    <xf numFmtId="14" fontId="37" fillId="0" borderId="22" xfId="0" applyNumberFormat="1" applyFont="1" applyFill="1" applyBorder="1" applyAlignment="1">
      <alignment horizontal="center" vertical="top" wrapText="1"/>
    </xf>
    <xf numFmtId="14" fontId="37" fillId="0" borderId="22" xfId="0" applyNumberFormat="1" applyFont="1" applyFill="1" applyBorder="1" applyAlignment="1">
      <alignment horizontal="center" vertical="top"/>
    </xf>
    <xf numFmtId="0" fontId="36" fillId="6" borderId="40" xfId="0" applyFont="1" applyFill="1" applyBorder="1" applyAlignment="1">
      <alignment horizontal="center" vertical="top"/>
    </xf>
    <xf numFmtId="0" fontId="36" fillId="6" borderId="22" xfId="0" applyFont="1" applyFill="1" applyBorder="1" applyAlignment="1">
      <alignment horizontal="center" vertical="top"/>
    </xf>
    <xf numFmtId="0" fontId="36" fillId="6" borderId="41" xfId="0" applyFont="1" applyFill="1" applyBorder="1" applyAlignment="1">
      <alignment horizontal="center" vertical="top"/>
    </xf>
    <xf numFmtId="0" fontId="7" fillId="0" borderId="60" xfId="0" applyFont="1" applyBorder="1" applyAlignment="1">
      <alignment horizontal="center" vertical="center"/>
    </xf>
    <xf numFmtId="0" fontId="7" fillId="0" borderId="79" xfId="0" applyFont="1" applyBorder="1" applyAlignment="1">
      <alignment horizontal="center" vertical="center"/>
    </xf>
    <xf numFmtId="0" fontId="7" fillId="0" borderId="12" xfId="0" applyFont="1" applyBorder="1" applyAlignment="1">
      <alignment horizontal="center" vertical="center"/>
    </xf>
    <xf numFmtId="0" fontId="36" fillId="6" borderId="66" xfId="0" applyFont="1" applyFill="1" applyBorder="1" applyAlignment="1">
      <alignment horizontal="center" vertical="top"/>
    </xf>
    <xf numFmtId="0" fontId="36" fillId="6" borderId="67" xfId="0" applyFont="1" applyFill="1" applyBorder="1" applyAlignment="1">
      <alignment horizontal="center" vertical="top"/>
    </xf>
    <xf numFmtId="0" fontId="36" fillId="6" borderId="68" xfId="0" applyFont="1" applyFill="1" applyBorder="1" applyAlignment="1">
      <alignment horizontal="center" vertical="top"/>
    </xf>
    <xf numFmtId="0" fontId="38" fillId="0" borderId="43" xfId="0" applyFont="1" applyBorder="1" applyAlignment="1">
      <alignment horizontal="center" wrapText="1"/>
    </xf>
    <xf numFmtId="0" fontId="49" fillId="0" borderId="22" xfId="0" applyFont="1" applyBorder="1" applyAlignment="1">
      <alignment horizontal="center" vertical="center"/>
    </xf>
    <xf numFmtId="0" fontId="41" fillId="0" borderId="40" xfId="0" applyFont="1" applyBorder="1" applyAlignment="1">
      <alignment horizontal="center"/>
    </xf>
    <xf numFmtId="0" fontId="41" fillId="0" borderId="22" xfId="0" applyFont="1" applyBorder="1" applyAlignment="1">
      <alignment horizontal="center"/>
    </xf>
    <xf numFmtId="0" fontId="41" fillId="0" borderId="41" xfId="0" applyFont="1" applyBorder="1" applyAlignment="1">
      <alignment horizontal="center"/>
    </xf>
    <xf numFmtId="0" fontId="38" fillId="0" borderId="40" xfId="0" applyFont="1" applyBorder="1" applyAlignment="1">
      <alignment horizontal="center" wrapText="1"/>
    </xf>
    <xf numFmtId="0" fontId="38" fillId="0" borderId="22" xfId="0" applyFont="1" applyBorder="1" applyAlignment="1">
      <alignment horizontal="center" wrapText="1"/>
    </xf>
    <xf numFmtId="0" fontId="38" fillId="0" borderId="41" xfId="0" applyFont="1" applyBorder="1" applyAlignment="1">
      <alignment horizontal="center" wrapText="1"/>
    </xf>
    <xf numFmtId="0" fontId="56" fillId="3" borderId="40" xfId="0" applyFont="1" applyFill="1" applyBorder="1" applyAlignment="1">
      <alignment horizontal="center" vertical="top" wrapText="1"/>
    </xf>
    <xf numFmtId="0" fontId="56" fillId="3" borderId="22" xfId="0" applyFont="1" applyFill="1" applyBorder="1" applyAlignment="1">
      <alignment horizontal="center" vertical="top" wrapText="1"/>
    </xf>
    <xf numFmtId="0" fontId="56" fillId="3" borderId="41" xfId="0" applyFont="1" applyFill="1" applyBorder="1" applyAlignment="1">
      <alignment horizontal="center" vertical="top" wrapText="1"/>
    </xf>
    <xf numFmtId="0" fontId="49" fillId="0" borderId="40" xfId="0" applyFont="1" applyBorder="1" applyAlignment="1">
      <alignment horizontal="center" vertical="center"/>
    </xf>
    <xf numFmtId="0" fontId="49" fillId="0" borderId="41" xfId="0" applyFont="1" applyBorder="1" applyAlignment="1">
      <alignment horizontal="center" vertical="center"/>
    </xf>
    <xf numFmtId="166" fontId="1" fillId="0" borderId="41" xfId="1" applyNumberFormat="1" applyFont="1" applyFill="1" applyBorder="1" applyAlignment="1">
      <alignment vertical="top"/>
    </xf>
    <xf numFmtId="0" fontId="7" fillId="6" borderId="74" xfId="0" applyFont="1" applyFill="1" applyBorder="1" applyAlignment="1">
      <alignment horizontal="center" vertical="center"/>
    </xf>
    <xf numFmtId="0" fontId="7" fillId="6" borderId="10" xfId="0" applyFont="1" applyFill="1" applyBorder="1" applyAlignment="1">
      <alignment horizontal="center" vertical="center"/>
    </xf>
    <xf numFmtId="0" fontId="7" fillId="6" borderId="73" xfId="0" applyFont="1" applyFill="1" applyBorder="1" applyAlignment="1">
      <alignment horizontal="center" vertical="center"/>
    </xf>
    <xf numFmtId="0" fontId="7" fillId="6" borderId="74" xfId="0" applyFont="1" applyFill="1" applyBorder="1" applyAlignment="1">
      <alignment horizontal="center" vertical="top" wrapText="1"/>
    </xf>
    <xf numFmtId="0" fontId="7" fillId="6" borderId="10" xfId="0" applyFont="1" applyFill="1" applyBorder="1" applyAlignment="1">
      <alignment horizontal="center" vertical="top" wrapText="1"/>
    </xf>
    <xf numFmtId="0" fontId="7" fillId="6" borderId="73" xfId="0" applyFont="1" applyFill="1" applyBorder="1" applyAlignment="1">
      <alignment horizontal="center" vertical="top" wrapText="1"/>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3" xfId="0" applyFont="1" applyFill="1" applyBorder="1" applyAlignment="1">
      <alignment horizontal="center" vertical="center"/>
    </xf>
    <xf numFmtId="0" fontId="38" fillId="0" borderId="42" xfId="16" applyFont="1" applyFill="1" applyBorder="1" applyAlignment="1">
      <alignment horizontal="center" vertical="top"/>
    </xf>
    <xf numFmtId="0" fontId="38" fillId="0" borderId="43" xfId="16" applyFont="1" applyFill="1" applyBorder="1" applyAlignment="1">
      <alignment horizontal="center" vertical="top"/>
    </xf>
    <xf numFmtId="0" fontId="38" fillId="0" borderId="44" xfId="16" applyFont="1" applyFill="1" applyBorder="1" applyAlignment="1">
      <alignment horizontal="center" vertical="top"/>
    </xf>
    <xf numFmtId="0" fontId="38" fillId="3" borderId="40" xfId="16" applyFont="1" applyFill="1" applyBorder="1" applyAlignment="1">
      <alignment horizontal="left" vertical="center" wrapText="1"/>
    </xf>
    <xf numFmtId="0" fontId="38" fillId="3" borderId="22" xfId="16" applyFont="1" applyFill="1" applyBorder="1" applyAlignment="1">
      <alignment horizontal="left" vertical="center" wrapText="1"/>
    </xf>
    <xf numFmtId="0" fontId="38" fillId="3" borderId="41" xfId="16" applyFont="1" applyFill="1" applyBorder="1" applyAlignment="1">
      <alignment horizontal="left" vertical="center" wrapText="1"/>
    </xf>
    <xf numFmtId="0" fontId="55" fillId="3" borderId="40" xfId="0" applyFont="1" applyFill="1" applyBorder="1" applyAlignment="1">
      <alignment horizontal="center" vertical="center" wrapText="1"/>
    </xf>
    <xf numFmtId="0" fontId="55" fillId="3" borderId="22" xfId="0" applyFont="1" applyFill="1" applyBorder="1" applyAlignment="1">
      <alignment horizontal="center" vertical="center" wrapText="1"/>
    </xf>
    <xf numFmtId="0" fontId="55" fillId="3" borderId="41" xfId="0" applyFont="1" applyFill="1" applyBorder="1" applyAlignment="1">
      <alignment horizontal="center" vertical="center" wrapText="1"/>
    </xf>
    <xf numFmtId="0" fontId="55" fillId="3" borderId="66" xfId="0" applyFont="1" applyFill="1" applyBorder="1" applyAlignment="1">
      <alignment horizontal="center" vertical="center" wrapText="1"/>
    </xf>
    <xf numFmtId="0" fontId="55" fillId="3" borderId="67" xfId="0" applyFont="1" applyFill="1" applyBorder="1" applyAlignment="1">
      <alignment horizontal="center" vertical="center" wrapText="1"/>
    </xf>
    <xf numFmtId="0" fontId="55" fillId="3" borderId="68" xfId="0" applyFont="1" applyFill="1" applyBorder="1" applyAlignment="1">
      <alignment horizontal="center" vertical="center" wrapText="1"/>
    </xf>
    <xf numFmtId="0" fontId="36" fillId="0" borderId="42" xfId="0" applyFont="1" applyBorder="1" applyAlignment="1">
      <alignment horizontal="center" vertical="center"/>
    </xf>
    <xf numFmtId="0" fontId="36" fillId="0" borderId="43" xfId="0" applyFont="1" applyBorder="1" applyAlignment="1">
      <alignment horizontal="center" vertical="center"/>
    </xf>
    <xf numFmtId="0" fontId="36" fillId="0" borderId="44" xfId="0" applyFont="1" applyBorder="1" applyAlignment="1">
      <alignment horizontal="center" vertical="center"/>
    </xf>
    <xf numFmtId="0" fontId="55" fillId="3" borderId="40" xfId="0" applyFont="1" applyFill="1" applyBorder="1" applyAlignment="1">
      <alignment horizontal="center" vertical="top" wrapText="1"/>
    </xf>
    <xf numFmtId="0" fontId="55" fillId="3" borderId="22" xfId="0" applyFont="1" applyFill="1" applyBorder="1" applyAlignment="1">
      <alignment horizontal="center" vertical="top" wrapText="1"/>
    </xf>
    <xf numFmtId="0" fontId="55" fillId="3" borderId="41" xfId="0" applyFont="1" applyFill="1" applyBorder="1" applyAlignment="1">
      <alignment horizontal="center" vertical="top" wrapText="1"/>
    </xf>
    <xf numFmtId="0" fontId="55" fillId="3" borderId="66" xfId="0" applyFont="1" applyFill="1" applyBorder="1" applyAlignment="1">
      <alignment horizontal="center" vertical="top" wrapText="1"/>
    </xf>
    <xf numFmtId="0" fontId="55" fillId="3" borderId="67" xfId="0" applyFont="1" applyFill="1" applyBorder="1" applyAlignment="1">
      <alignment horizontal="center" vertical="top" wrapText="1"/>
    </xf>
    <xf numFmtId="0" fontId="55" fillId="3" borderId="68" xfId="0" applyFont="1" applyFill="1" applyBorder="1" applyAlignment="1">
      <alignment horizontal="center" vertical="top" wrapText="1"/>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Font="1" applyAlignment="1">
      <alignment horizontal="center"/>
    </xf>
    <xf numFmtId="0" fontId="3" fillId="4" borderId="0" xfId="0" applyFont="1" applyFill="1" applyAlignment="1">
      <alignment horizontal="center" wrapText="1"/>
    </xf>
    <xf numFmtId="14" fontId="0" fillId="2" borderId="2" xfId="0" applyNumberFormat="1" applyFill="1" applyBorder="1" applyAlignment="1">
      <alignment horizontal="center" vertical="top" wrapText="1"/>
    </xf>
    <xf numFmtId="0" fontId="7" fillId="0" borderId="2" xfId="0" applyFont="1" applyBorder="1" applyAlignment="1">
      <alignment horizontal="center" vertical="center" wrapText="1"/>
    </xf>
    <xf numFmtId="0" fontId="0" fillId="14" borderId="2" xfId="0" applyFill="1" applyBorder="1" applyAlignment="1">
      <alignment horizontal="center" vertical="top" wrapText="1"/>
    </xf>
    <xf numFmtId="0" fontId="2" fillId="0" borderId="0" xfId="0" applyFont="1" applyFill="1" applyBorder="1" applyAlignment="1">
      <alignment horizontal="center"/>
    </xf>
    <xf numFmtId="14" fontId="2" fillId="0" borderId="0" xfId="0" applyNumberFormat="1" applyFont="1" applyFill="1" applyBorder="1" applyAlignment="1">
      <alignment horizontal="center"/>
    </xf>
    <xf numFmtId="14" fontId="2" fillId="0" borderId="21" xfId="0" applyNumberFormat="1" applyFont="1" applyFill="1" applyBorder="1" applyAlignment="1">
      <alignment horizontal="center"/>
    </xf>
    <xf numFmtId="0" fontId="2" fillId="0" borderId="9" xfId="0" applyFont="1" applyFill="1" applyBorder="1" applyAlignment="1">
      <alignment horizontal="center"/>
    </xf>
    <xf numFmtId="0" fontId="2" fillId="0" borderId="5" xfId="0" applyFont="1" applyFill="1" applyBorder="1" applyAlignment="1">
      <alignment horizontal="center"/>
    </xf>
    <xf numFmtId="0" fontId="2" fillId="0" borderId="0" xfId="0" applyFont="1" applyFill="1" applyAlignment="1">
      <alignment horizontal="center"/>
    </xf>
    <xf numFmtId="0" fontId="2" fillId="0" borderId="18" xfId="0" applyFont="1" applyFill="1" applyBorder="1" applyAlignment="1">
      <alignment horizontal="center"/>
    </xf>
    <xf numFmtId="0" fontId="2" fillId="0" borderId="19" xfId="0" applyFont="1" applyFill="1" applyBorder="1" applyAlignment="1">
      <alignment horizontal="center"/>
    </xf>
    <xf numFmtId="0" fontId="2" fillId="0" borderId="21" xfId="0" applyFont="1" applyFill="1" applyBorder="1" applyAlignment="1">
      <alignment horizontal="center"/>
    </xf>
    <xf numFmtId="14" fontId="2" fillId="7" borderId="0" xfId="0" applyNumberFormat="1" applyFont="1" applyFill="1" applyBorder="1" applyAlignment="1">
      <alignment horizontal="center"/>
    </xf>
    <xf numFmtId="14" fontId="2" fillId="7" borderId="21" xfId="0" applyNumberFormat="1" applyFont="1" applyFill="1" applyBorder="1" applyAlignment="1">
      <alignment horizontal="center"/>
    </xf>
    <xf numFmtId="14" fontId="0" fillId="2" borderId="2" xfId="0" applyNumberFormat="1" applyFill="1" applyBorder="1" applyAlignment="1">
      <alignment horizontal="center" vertical="top"/>
    </xf>
    <xf numFmtId="14" fontId="27" fillId="2" borderId="2" xfId="0" applyNumberFormat="1" applyFont="1" applyFill="1" applyBorder="1" applyAlignment="1">
      <alignment horizontal="center" vertical="top" wrapText="1"/>
    </xf>
    <xf numFmtId="0" fontId="3" fillId="4" borderId="9" xfId="0" applyFont="1" applyFill="1" applyBorder="1" applyAlignment="1">
      <alignment horizontal="center" vertical="center" wrapText="1"/>
    </xf>
    <xf numFmtId="14" fontId="29" fillId="14" borderId="2" xfId="0" applyNumberFormat="1" applyFont="1" applyFill="1" applyBorder="1" applyAlignment="1">
      <alignment horizontal="center" vertical="top" wrapText="1"/>
    </xf>
    <xf numFmtId="0" fontId="3" fillId="0" borderId="0" xfId="0" applyFont="1" applyAlignment="1">
      <alignment horizontal="center" wrapText="1"/>
    </xf>
    <xf numFmtId="0" fontId="0" fillId="0" borderId="22" xfId="0" applyBorder="1" applyAlignment="1">
      <alignment horizontal="center"/>
    </xf>
    <xf numFmtId="0" fontId="0" fillId="0" borderId="22" xfId="0" applyBorder="1" applyAlignment="1">
      <alignment horizontal="justify"/>
    </xf>
    <xf numFmtId="0" fontId="0" fillId="0" borderId="71" xfId="0" applyBorder="1" applyAlignment="1">
      <alignment horizontal="center"/>
    </xf>
    <xf numFmtId="0" fontId="0" fillId="0" borderId="46" xfId="0" applyBorder="1" applyAlignment="1">
      <alignment horizontal="center"/>
    </xf>
    <xf numFmtId="0" fontId="0" fillId="0" borderId="22" xfId="0" applyBorder="1" applyAlignment="1">
      <alignment horizontal="justify" wrapText="1"/>
    </xf>
    <xf numFmtId="0" fontId="0" fillId="0" borderId="71" xfId="0" applyBorder="1" applyAlignment="1">
      <alignment horizontal="center" wrapText="1"/>
    </xf>
    <xf numFmtId="0" fontId="0" fillId="0" borderId="72" xfId="0" applyBorder="1" applyAlignment="1">
      <alignment horizontal="center" wrapText="1"/>
    </xf>
    <xf numFmtId="0" fontId="0" fillId="0" borderId="46" xfId="0" applyBorder="1" applyAlignment="1">
      <alignment horizontal="center" wrapText="1"/>
    </xf>
    <xf numFmtId="0" fontId="0" fillId="0" borderId="22" xfId="0" applyBorder="1" applyAlignment="1">
      <alignment horizontal="center" wrapText="1"/>
    </xf>
    <xf numFmtId="0" fontId="3" fillId="5" borderId="0" xfId="0" applyFont="1" applyFill="1" applyBorder="1" applyAlignment="1">
      <alignment horizontal="center" wrapText="1"/>
    </xf>
    <xf numFmtId="0" fontId="0" fillId="0" borderId="22" xfId="0" applyFill="1" applyBorder="1" applyAlignment="1">
      <alignment horizontal="center"/>
    </xf>
    <xf numFmtId="0" fontId="0" fillId="0" borderId="22" xfId="0" applyBorder="1" applyAlignment="1">
      <alignment horizontal="center" vertical="center"/>
    </xf>
    <xf numFmtId="0" fontId="26" fillId="0" borderId="22" xfId="0" applyFont="1" applyBorder="1" applyAlignment="1">
      <alignment horizontal="center"/>
    </xf>
    <xf numFmtId="0" fontId="0" fillId="0" borderId="22" xfId="0" applyBorder="1" applyAlignment="1">
      <alignment horizontal="justify"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46" xfId="0" applyBorder="1" applyAlignment="1">
      <alignment horizontal="center" vertical="center" wrapText="1"/>
    </xf>
    <xf numFmtId="0" fontId="27" fillId="0" borderId="22" xfId="0" applyFont="1" applyBorder="1" applyAlignment="1">
      <alignment horizontal="justify" wrapText="1"/>
    </xf>
    <xf numFmtId="0" fontId="0" fillId="0" borderId="22" xfId="0" applyBorder="1" applyAlignment="1">
      <alignment horizontal="left" vertical="center" wrapText="1"/>
    </xf>
    <xf numFmtId="166" fontId="0" fillId="0" borderId="30" xfId="0" applyNumberFormat="1" applyFill="1" applyBorder="1" applyAlignment="1">
      <alignment horizontal="center" vertical="center"/>
    </xf>
    <xf numFmtId="166" fontId="0" fillId="0" borderId="4" xfId="0" applyNumberFormat="1" applyFill="1" applyBorder="1" applyAlignment="1">
      <alignment horizontal="center" vertical="center"/>
    </xf>
    <xf numFmtId="166" fontId="0" fillId="0" borderId="2" xfId="0" applyNumberFormat="1" applyFill="1" applyBorder="1" applyAlignment="1">
      <alignment horizontal="center" vertical="center"/>
    </xf>
    <xf numFmtId="0" fontId="0" fillId="0" borderId="2" xfId="0" applyFill="1" applyBorder="1" applyAlignment="1">
      <alignment horizontal="center" vertical="center"/>
    </xf>
    <xf numFmtId="0" fontId="7" fillId="0" borderId="30" xfId="0" applyFont="1" applyFill="1" applyBorder="1" applyAlignment="1">
      <alignment horizontal="center"/>
    </xf>
    <xf numFmtId="0" fontId="0" fillId="0" borderId="18" xfId="0" applyFill="1" applyBorder="1" applyAlignment="1">
      <alignment horizontal="center" vertical="center" wrapText="1"/>
    </xf>
    <xf numFmtId="0" fontId="0" fillId="0" borderId="19" xfId="0" applyFill="1" applyBorder="1" applyAlignment="1">
      <alignment horizontal="center" vertical="center" wrapText="1"/>
    </xf>
    <xf numFmtId="0" fontId="0" fillId="0" borderId="9" xfId="0" applyFill="1" applyBorder="1" applyAlignment="1">
      <alignment horizontal="center" vertical="center" wrapText="1"/>
    </xf>
    <xf numFmtId="0" fontId="0" fillId="0" borderId="5" xfId="0" applyFill="1" applyBorder="1" applyAlignment="1">
      <alignment horizontal="center" vertical="center" wrapText="1"/>
    </xf>
    <xf numFmtId="0" fontId="2" fillId="0" borderId="18" xfId="0" applyFont="1" applyBorder="1" applyAlignment="1">
      <alignment vertical="center" wrapText="1"/>
    </xf>
    <xf numFmtId="0" fontId="2" fillId="0" borderId="19" xfId="0" applyFont="1" applyBorder="1" applyAlignment="1">
      <alignment vertical="center" wrapText="1"/>
    </xf>
    <xf numFmtId="0" fontId="2" fillId="0" borderId="9" xfId="0" applyFont="1" applyBorder="1" applyAlignment="1">
      <alignment vertical="center" wrapText="1"/>
    </xf>
    <xf numFmtId="0" fontId="2" fillId="0" borderId="5" xfId="0" applyFont="1" applyBorder="1" applyAlignment="1">
      <alignment vertical="center" wrapText="1"/>
    </xf>
    <xf numFmtId="0" fontId="22" fillId="4" borderId="0" xfId="0" applyFont="1" applyFill="1" applyBorder="1" applyAlignment="1">
      <alignment horizontal="center" vertical="top"/>
    </xf>
    <xf numFmtId="0" fontId="15" fillId="0" borderId="0" xfId="0" applyFont="1" applyAlignment="1">
      <alignment horizontal="center"/>
    </xf>
    <xf numFmtId="0" fontId="11" fillId="6" borderId="0" xfId="0" applyFont="1" applyFill="1" applyBorder="1" applyAlignment="1">
      <alignment horizontal="center" vertical="top"/>
    </xf>
    <xf numFmtId="0" fontId="20" fillId="0" borderId="0" xfId="0" applyFont="1" applyFill="1" applyBorder="1" applyAlignment="1">
      <alignment horizontal="center" vertical="center" wrapText="1"/>
    </xf>
    <xf numFmtId="0" fontId="7" fillId="0" borderId="17" xfId="0" applyFont="1" applyBorder="1" applyAlignment="1"/>
    <xf numFmtId="0" fontId="7" fillId="0" borderId="18" xfId="0" applyFont="1" applyBorder="1" applyAlignment="1"/>
    <xf numFmtId="0" fontId="7" fillId="0" borderId="19" xfId="0" applyFont="1" applyBorder="1" applyAlignment="1"/>
    <xf numFmtId="49" fontId="2" fillId="0" borderId="9" xfId="0" applyNumberFormat="1" applyFont="1" applyBorder="1" applyAlignment="1">
      <alignment horizontal="center" vertical="top"/>
    </xf>
    <xf numFmtId="49" fontId="3" fillId="0" borderId="0" xfId="0" applyNumberFormat="1" applyFont="1" applyBorder="1" applyAlignment="1">
      <alignment horizontal="center" vertical="top"/>
    </xf>
    <xf numFmtId="0" fontId="21" fillId="0" borderId="0" xfId="0" applyFont="1" applyFill="1" applyBorder="1" applyAlignment="1">
      <alignment horizontal="center" vertical="top" wrapText="1"/>
    </xf>
    <xf numFmtId="0" fontId="11" fillId="0" borderId="49" xfId="0" applyFont="1" applyBorder="1" applyAlignment="1">
      <alignment horizontal="left" vertical="top"/>
    </xf>
    <xf numFmtId="0" fontId="11" fillId="0" borderId="50" xfId="0" applyFont="1" applyBorder="1" applyAlignment="1">
      <alignment horizontal="left" vertical="top" wrapText="1"/>
    </xf>
    <xf numFmtId="0" fontId="11" fillId="0" borderId="51" xfId="0" applyFont="1" applyBorder="1" applyAlignment="1">
      <alignment horizontal="left" vertical="top"/>
    </xf>
    <xf numFmtId="0" fontId="11" fillId="0" borderId="3" xfId="0" applyFont="1" applyBorder="1" applyAlignment="1">
      <alignment horizontal="left" vertical="top" wrapText="1"/>
    </xf>
    <xf numFmtId="0" fontId="11" fillId="0" borderId="50" xfId="0" applyFont="1" applyBorder="1" applyAlignment="1">
      <alignment horizontal="center" vertical="top"/>
    </xf>
    <xf numFmtId="0" fontId="11" fillId="0" borderId="7" xfId="0" applyFont="1" applyBorder="1" applyAlignment="1">
      <alignment horizontal="center" vertical="top"/>
    </xf>
    <xf numFmtId="0" fontId="11" fillId="0" borderId="51" xfId="0" applyFont="1" applyBorder="1" applyAlignment="1">
      <alignment horizontal="center" vertical="top"/>
    </xf>
    <xf numFmtId="0" fontId="15" fillId="0" borderId="50" xfId="0" applyFont="1" applyBorder="1" applyAlignment="1">
      <alignment horizontal="center" vertical="top" wrapText="1"/>
    </xf>
    <xf numFmtId="0" fontId="15" fillId="0" borderId="51" xfId="0" applyFont="1" applyBorder="1" applyAlignment="1">
      <alignment horizontal="center" vertical="top" wrapText="1"/>
    </xf>
    <xf numFmtId="0" fontId="15" fillId="0" borderId="49" xfId="0" applyFont="1" applyBorder="1" applyAlignment="1">
      <alignment horizontal="center" vertical="top" wrapText="1"/>
    </xf>
    <xf numFmtId="0" fontId="15" fillId="0" borderId="52" xfId="0" applyFont="1" applyBorder="1" applyAlignment="1">
      <alignment horizontal="center" vertical="top" wrapText="1"/>
    </xf>
    <xf numFmtId="0" fontId="15" fillId="0" borderId="55" xfId="0" applyFont="1" applyBorder="1" applyAlignment="1">
      <alignment horizontal="center" vertical="top" wrapText="1"/>
    </xf>
    <xf numFmtId="0" fontId="15" fillId="0" borderId="56" xfId="0" applyFont="1" applyBorder="1" applyAlignment="1">
      <alignment horizontal="center" vertical="top" wrapText="1"/>
    </xf>
    <xf numFmtId="0" fontId="15" fillId="0" borderId="55" xfId="0" applyFont="1" applyBorder="1" applyAlignment="1">
      <alignment horizontal="center" vertical="top"/>
    </xf>
    <xf numFmtId="0" fontId="15" fillId="0" borderId="5" xfId="0" applyFont="1" applyBorder="1" applyAlignment="1">
      <alignment horizontal="center" vertical="top"/>
    </xf>
    <xf numFmtId="0" fontId="36" fillId="3" borderId="0" xfId="0" applyFont="1" applyFill="1" applyAlignment="1">
      <alignment horizontal="center"/>
    </xf>
    <xf numFmtId="0" fontId="37" fillId="0" borderId="0" xfId="0" applyFont="1" applyAlignment="1">
      <alignment horizontal="center"/>
    </xf>
    <xf numFmtId="0" fontId="37" fillId="0" borderId="0" xfId="0" applyFont="1" applyFill="1" applyAlignment="1">
      <alignment horizontal="center"/>
    </xf>
    <xf numFmtId="0" fontId="37" fillId="0" borderId="18" xfId="0" applyFont="1" applyFill="1" applyBorder="1" applyAlignment="1">
      <alignment horizontal="center"/>
    </xf>
    <xf numFmtId="0" fontId="37" fillId="0" borderId="19" xfId="0" applyFont="1" applyFill="1" applyBorder="1" applyAlignment="1">
      <alignment horizontal="center"/>
    </xf>
    <xf numFmtId="0" fontId="37" fillId="0" borderId="0" xfId="0" applyFont="1" applyFill="1" applyBorder="1" applyAlignment="1">
      <alignment horizontal="center"/>
    </xf>
    <xf numFmtId="0" fontId="37" fillId="0" borderId="21" xfId="0" applyFont="1" applyFill="1" applyBorder="1" applyAlignment="1">
      <alignment horizontal="center"/>
    </xf>
    <xf numFmtId="14" fontId="37" fillId="0" borderId="0" xfId="0" applyNumberFormat="1" applyFont="1" applyFill="1" applyBorder="1" applyAlignment="1">
      <alignment horizontal="center"/>
    </xf>
    <xf numFmtId="14" fontId="37" fillId="0" borderId="21" xfId="0" applyNumberFormat="1" applyFont="1" applyFill="1" applyBorder="1" applyAlignment="1">
      <alignment horizontal="center"/>
    </xf>
    <xf numFmtId="0" fontId="37" fillId="0" borderId="17" xfId="0" applyFont="1" applyFill="1" applyBorder="1" applyAlignment="1">
      <alignment horizontal="center"/>
    </xf>
    <xf numFmtId="0" fontId="37" fillId="0" borderId="20" xfId="0" applyFont="1" applyFill="1" applyBorder="1" applyAlignment="1">
      <alignment horizontal="center"/>
    </xf>
    <xf numFmtId="0" fontId="36" fillId="0" borderId="0" xfId="0" applyFont="1" applyAlignment="1">
      <alignment horizontal="left" vertical="center"/>
    </xf>
    <xf numFmtId="0" fontId="37" fillId="0" borderId="43" xfId="0" applyFont="1" applyFill="1" applyBorder="1" applyAlignment="1">
      <alignment horizontal="left" vertical="top" wrapText="1"/>
    </xf>
    <xf numFmtId="0" fontId="37" fillId="0" borderId="44" xfId="0" applyFont="1" applyFill="1" applyBorder="1" applyAlignment="1">
      <alignment horizontal="left" vertical="top" wrapText="1"/>
    </xf>
    <xf numFmtId="0" fontId="36" fillId="4" borderId="6" xfId="0" applyFont="1" applyFill="1" applyBorder="1" applyAlignment="1">
      <alignment horizontal="center" wrapText="1"/>
    </xf>
    <xf numFmtId="0" fontId="36" fillId="4" borderId="7" xfId="0" applyFont="1" applyFill="1" applyBorder="1" applyAlignment="1">
      <alignment horizontal="center" wrapText="1"/>
    </xf>
    <xf numFmtId="0" fontId="36" fillId="4" borderId="3" xfId="0" applyFont="1" applyFill="1" applyBorder="1" applyAlignment="1">
      <alignment horizontal="center" wrapText="1"/>
    </xf>
    <xf numFmtId="14" fontId="37" fillId="0" borderId="9" xfId="0" applyNumberFormat="1" applyFont="1" applyFill="1" applyBorder="1" applyAlignment="1">
      <alignment horizontal="center"/>
    </xf>
    <xf numFmtId="0" fontId="37" fillId="0" borderId="5" xfId="0" applyFont="1" applyFill="1" applyBorder="1" applyAlignment="1">
      <alignment horizontal="center"/>
    </xf>
    <xf numFmtId="0" fontId="37" fillId="0" borderId="28" xfId="0" applyFont="1" applyFill="1" applyBorder="1" applyAlignment="1">
      <alignment horizontal="center"/>
    </xf>
    <xf numFmtId="0" fontId="37" fillId="0" borderId="9" xfId="0" applyFont="1" applyFill="1" applyBorder="1" applyAlignment="1">
      <alignment horizontal="center"/>
    </xf>
    <xf numFmtId="0" fontId="30" fillId="0" borderId="22" xfId="0" applyFont="1" applyBorder="1" applyAlignment="1">
      <alignment horizontal="right" vertical="center"/>
    </xf>
    <xf numFmtId="0" fontId="0" fillId="0" borderId="74" xfId="0" applyBorder="1" applyAlignment="1">
      <alignment horizontal="center" wrapText="1"/>
    </xf>
    <xf numFmtId="0" fontId="0" fillId="0" borderId="10" xfId="0" applyBorder="1" applyAlignment="1">
      <alignment horizontal="center" wrapText="1"/>
    </xf>
    <xf numFmtId="0" fontId="0" fillId="0" borderId="73" xfId="0" applyBorder="1" applyAlignment="1">
      <alignment horizontal="center" wrapText="1"/>
    </xf>
    <xf numFmtId="0" fontId="0" fillId="0" borderId="37" xfId="0" applyBorder="1" applyAlignment="1">
      <alignment horizontal="center" wrapText="1"/>
    </xf>
    <xf numFmtId="0" fontId="0" fillId="0" borderId="38" xfId="0" applyBorder="1" applyAlignment="1">
      <alignment horizontal="center" wrapText="1"/>
    </xf>
    <xf numFmtId="0" fontId="0" fillId="0" borderId="39" xfId="0" applyBorder="1" applyAlignment="1">
      <alignment horizontal="center" wrapText="1"/>
    </xf>
    <xf numFmtId="0" fontId="7" fillId="0" borderId="22" xfId="0" applyFont="1" applyBorder="1" applyAlignment="1">
      <alignment horizontal="center" vertical="center" wrapText="1"/>
    </xf>
    <xf numFmtId="0" fontId="0" fillId="0" borderId="34" xfId="0" applyFont="1" applyFill="1" applyBorder="1" applyAlignment="1">
      <alignment horizontal="center"/>
    </xf>
    <xf numFmtId="0" fontId="0" fillId="0" borderId="23" xfId="0" applyFont="1" applyFill="1" applyBorder="1" applyAlignment="1">
      <alignment horizontal="center"/>
    </xf>
    <xf numFmtId="0" fontId="0" fillId="0" borderId="37" xfId="0" applyFont="1" applyFill="1" applyBorder="1" applyAlignment="1">
      <alignment horizontal="center"/>
    </xf>
    <xf numFmtId="0" fontId="0" fillId="0" borderId="35" xfId="0" applyFont="1" applyFill="1" applyBorder="1" applyAlignment="1">
      <alignment horizontal="center"/>
    </xf>
    <xf numFmtId="0" fontId="0" fillId="0" borderId="0" xfId="0" applyFont="1" applyFill="1" applyBorder="1" applyAlignment="1">
      <alignment horizontal="center"/>
    </xf>
    <xf numFmtId="0" fontId="0" fillId="0" borderId="38" xfId="0" applyFont="1" applyFill="1" applyBorder="1" applyAlignment="1">
      <alignment horizontal="center"/>
    </xf>
    <xf numFmtId="0" fontId="0" fillId="0" borderId="36" xfId="0" applyFont="1" applyFill="1" applyBorder="1" applyAlignment="1">
      <alignment horizontal="center"/>
    </xf>
    <xf numFmtId="0" fontId="0" fillId="0" borderId="14" xfId="0" applyFont="1" applyFill="1" applyBorder="1" applyAlignment="1">
      <alignment horizontal="center"/>
    </xf>
    <xf numFmtId="0" fontId="0" fillId="0" borderId="39" xfId="0" applyFont="1" applyFill="1" applyBorder="1" applyAlignment="1">
      <alignment horizontal="center"/>
    </xf>
    <xf numFmtId="0" fontId="0" fillId="0" borderId="71" xfId="0" applyFont="1" applyFill="1" applyBorder="1" applyAlignment="1">
      <alignment horizontal="center"/>
    </xf>
    <xf numFmtId="0" fontId="0" fillId="0" borderId="72" xfId="0" applyFont="1" applyFill="1" applyBorder="1" applyAlignment="1">
      <alignment horizontal="center"/>
    </xf>
    <xf numFmtId="0" fontId="0" fillId="0" borderId="46" xfId="0" applyFont="1" applyFill="1" applyBorder="1" applyAlignment="1">
      <alignment horizontal="center"/>
    </xf>
    <xf numFmtId="0" fontId="0" fillId="0" borderId="74" xfId="0" applyFont="1" applyFill="1" applyBorder="1" applyAlignment="1">
      <alignment horizontal="center"/>
    </xf>
    <xf numFmtId="0" fontId="0" fillId="0" borderId="10" xfId="0" applyFont="1" applyFill="1" applyBorder="1" applyAlignment="1">
      <alignment horizontal="center"/>
    </xf>
    <xf numFmtId="0" fontId="0" fillId="0" borderId="73" xfId="0" applyFont="1" applyFill="1" applyBorder="1" applyAlignment="1">
      <alignment horizontal="center"/>
    </xf>
    <xf numFmtId="0" fontId="36" fillId="3" borderId="6" xfId="0" applyFont="1" applyFill="1" applyBorder="1" applyAlignment="1">
      <alignment horizontal="center"/>
    </xf>
    <xf numFmtId="0" fontId="36" fillId="3" borderId="3" xfId="0" applyFont="1" applyFill="1" applyBorder="1" applyAlignment="1">
      <alignment horizontal="center"/>
    </xf>
    <xf numFmtId="0" fontId="37" fillId="0" borderId="22" xfId="0" applyFont="1" applyBorder="1" applyAlignment="1">
      <alignment horizontal="center" vertical="top"/>
    </xf>
    <xf numFmtId="0" fontId="37" fillId="0" borderId="71" xfId="0" applyFont="1" applyBorder="1" applyAlignment="1">
      <alignment horizontal="left" vertical="top"/>
    </xf>
    <xf numFmtId="0" fontId="37" fillId="0" borderId="46" xfId="0" applyFont="1" applyBorder="1" applyAlignment="1">
      <alignment horizontal="left" vertical="top"/>
    </xf>
    <xf numFmtId="0" fontId="36" fillId="0" borderId="36" xfId="0" applyFont="1" applyBorder="1" applyAlignment="1">
      <alignment horizontal="center" vertical="top" wrapText="1"/>
    </xf>
    <xf numFmtId="0" fontId="36" fillId="0" borderId="14" xfId="0" applyFont="1" applyBorder="1" applyAlignment="1">
      <alignment horizontal="center" vertical="top" wrapText="1"/>
    </xf>
    <xf numFmtId="0" fontId="36" fillId="0" borderId="74" xfId="0" applyFont="1" applyBorder="1" applyAlignment="1">
      <alignment horizontal="center" wrapText="1"/>
    </xf>
    <xf numFmtId="0" fontId="36" fillId="0" borderId="73" xfId="0" applyFont="1" applyBorder="1" applyAlignment="1">
      <alignment horizontal="center" wrapText="1"/>
    </xf>
    <xf numFmtId="0" fontId="37" fillId="0" borderId="22" xfId="0" applyFont="1" applyBorder="1" applyAlignment="1">
      <alignment horizontal="left" vertical="top" wrapText="1"/>
    </xf>
    <xf numFmtId="0" fontId="41" fillId="0" borderId="22" xfId="0" applyFont="1" applyBorder="1" applyAlignment="1">
      <alignment horizontal="left" vertical="top" wrapText="1"/>
    </xf>
    <xf numFmtId="0" fontId="37" fillId="0" borderId="0" xfId="0" applyFont="1" applyAlignment="1">
      <alignment horizontal="left" wrapText="1"/>
    </xf>
    <xf numFmtId="0" fontId="36" fillId="3" borderId="7" xfId="0" applyFont="1" applyFill="1" applyBorder="1" applyAlignment="1">
      <alignment horizontal="center"/>
    </xf>
    <xf numFmtId="0" fontId="43" fillId="0" borderId="74" xfId="0" applyFont="1" applyBorder="1" applyAlignment="1">
      <alignment horizontal="center"/>
    </xf>
    <xf numFmtId="0" fontId="43" fillId="0" borderId="10" xfId="0" applyFont="1" applyBorder="1" applyAlignment="1">
      <alignment horizontal="center"/>
    </xf>
    <xf numFmtId="0" fontId="43" fillId="0" borderId="73" xfId="0" applyFont="1" applyBorder="1" applyAlignment="1">
      <alignment horizontal="center"/>
    </xf>
    <xf numFmtId="0" fontId="39" fillId="0" borderId="22" xfId="0" applyFont="1" applyBorder="1" applyAlignment="1">
      <alignment horizontal="left"/>
    </xf>
    <xf numFmtId="0" fontId="36" fillId="0" borderId="36" xfId="0" applyFont="1" applyBorder="1" applyAlignment="1">
      <alignment horizontal="center" wrapText="1"/>
    </xf>
    <xf numFmtId="0" fontId="36" fillId="0" borderId="14" xfId="0" applyFont="1" applyBorder="1" applyAlignment="1">
      <alignment horizontal="center" wrapText="1"/>
    </xf>
    <xf numFmtId="0" fontId="36" fillId="0" borderId="22" xfId="0" applyFont="1" applyBorder="1" applyAlignment="1">
      <alignment horizontal="center" wrapText="1"/>
    </xf>
    <xf numFmtId="0" fontId="37" fillId="0" borderId="22" xfId="0" applyFont="1" applyBorder="1" applyAlignment="1">
      <alignment horizontal="left"/>
    </xf>
    <xf numFmtId="0" fontId="37" fillId="0" borderId="74" xfId="0" applyFont="1" applyBorder="1" applyAlignment="1">
      <alignment horizontal="left" vertical="top" wrapText="1"/>
    </xf>
    <xf numFmtId="0" fontId="37" fillId="0" borderId="10" xfId="0" applyFont="1" applyBorder="1" applyAlignment="1">
      <alignment horizontal="left" vertical="top" wrapText="1"/>
    </xf>
    <xf numFmtId="0" fontId="37" fillId="0" borderId="73" xfId="0" applyFont="1" applyBorder="1" applyAlignment="1">
      <alignment horizontal="left" vertical="top" wrapText="1"/>
    </xf>
    <xf numFmtId="0" fontId="37" fillId="0" borderId="22" xfId="0" applyFont="1" applyBorder="1" applyAlignment="1">
      <alignment horizontal="center"/>
    </xf>
    <xf numFmtId="0" fontId="36" fillId="0" borderId="22" xfId="0" applyFont="1" applyBorder="1" applyAlignment="1">
      <alignment horizontal="center"/>
    </xf>
    <xf numFmtId="0" fontId="37" fillId="0" borderId="22" xfId="0" applyFont="1" applyBorder="1" applyAlignment="1">
      <alignment horizontal="left" wrapText="1"/>
    </xf>
    <xf numFmtId="0" fontId="36" fillId="3" borderId="6" xfId="0" applyFont="1" applyFill="1" applyBorder="1" applyAlignment="1">
      <alignment horizontal="center" vertical="top"/>
    </xf>
    <xf numFmtId="0" fontId="36" fillId="3" borderId="7" xfId="0" applyFont="1" applyFill="1" applyBorder="1" applyAlignment="1">
      <alignment horizontal="center" vertical="top"/>
    </xf>
    <xf numFmtId="0" fontId="36" fillId="0" borderId="76" xfId="0" applyFont="1" applyBorder="1" applyAlignment="1">
      <alignment horizontal="center" vertical="top"/>
    </xf>
    <xf numFmtId="0" fontId="36" fillId="0" borderId="69" xfId="0" applyFont="1" applyBorder="1" applyAlignment="1">
      <alignment horizontal="center" vertical="top"/>
    </xf>
    <xf numFmtId="0" fontId="36" fillId="0" borderId="22" xfId="0" applyFont="1" applyBorder="1" applyAlignment="1">
      <alignment horizontal="center" vertical="top"/>
    </xf>
    <xf numFmtId="0" fontId="37" fillId="0" borderId="22" xfId="0" applyFont="1" applyBorder="1" applyAlignment="1">
      <alignment horizontal="justify" vertical="top" wrapText="1"/>
    </xf>
    <xf numFmtId="0" fontId="37" fillId="0" borderId="22" xfId="0" applyFont="1" applyBorder="1" applyAlignment="1">
      <alignment horizontal="justify" vertical="top"/>
    </xf>
    <xf numFmtId="0" fontId="41" fillId="0" borderId="22" xfId="0" applyFont="1" applyBorder="1" applyAlignment="1">
      <alignment horizontal="justify" vertical="top" wrapText="1"/>
    </xf>
    <xf numFmtId="0" fontId="36" fillId="0" borderId="74" xfId="0" applyFont="1" applyBorder="1" applyAlignment="1">
      <alignment horizontal="center" vertical="top"/>
    </xf>
    <xf numFmtId="0" fontId="36" fillId="0" borderId="73" xfId="0" applyFont="1" applyBorder="1" applyAlignment="1">
      <alignment horizontal="center" vertical="top"/>
    </xf>
    <xf numFmtId="0" fontId="37" fillId="0" borderId="74" xfId="0" applyFont="1" applyBorder="1" applyAlignment="1">
      <alignment horizontal="center" vertical="top"/>
    </xf>
    <xf numFmtId="0" fontId="37" fillId="0" borderId="73" xfId="0" applyFont="1" applyBorder="1" applyAlignment="1">
      <alignment horizontal="center" vertical="top"/>
    </xf>
    <xf numFmtId="0" fontId="36" fillId="0" borderId="36" xfId="0" applyFont="1" applyBorder="1" applyAlignment="1">
      <alignment horizontal="center" vertical="top"/>
    </xf>
    <xf numFmtId="0" fontId="36" fillId="0" borderId="14" xfId="0" applyFont="1" applyBorder="1" applyAlignment="1">
      <alignment horizontal="center" vertical="top"/>
    </xf>
    <xf numFmtId="0" fontId="37" fillId="0" borderId="10" xfId="0" applyFont="1" applyBorder="1" applyAlignment="1">
      <alignment horizontal="center" vertical="top" wrapText="1"/>
    </xf>
    <xf numFmtId="0" fontId="37" fillId="0" borderId="73" xfId="0" applyFont="1" applyBorder="1" applyAlignment="1">
      <alignment horizontal="center" vertical="top" wrapText="1"/>
    </xf>
    <xf numFmtId="14" fontId="37" fillId="0" borderId="20" xfId="0" applyNumberFormat="1" applyFont="1" applyFill="1" applyBorder="1" applyAlignment="1">
      <alignment horizontal="center"/>
    </xf>
    <xf numFmtId="0" fontId="36" fillId="0" borderId="71" xfId="0" applyFont="1" applyBorder="1" applyAlignment="1">
      <alignment horizontal="center"/>
    </xf>
    <xf numFmtId="0" fontId="37" fillId="0" borderId="28" xfId="0" applyFont="1" applyFill="1" applyBorder="1" applyAlignment="1">
      <alignment horizontal="left"/>
    </xf>
    <xf numFmtId="0" fontId="37" fillId="0" borderId="9" xfId="0" applyFont="1" applyFill="1" applyBorder="1" applyAlignment="1">
      <alignment horizontal="left"/>
    </xf>
    <xf numFmtId="14" fontId="37" fillId="0" borderId="28" xfId="0" applyNumberFormat="1" applyFont="1" applyFill="1" applyBorder="1" applyAlignment="1">
      <alignment horizontal="center"/>
    </xf>
    <xf numFmtId="14" fontId="37" fillId="0" borderId="5" xfId="0" applyNumberFormat="1" applyFont="1" applyFill="1" applyBorder="1" applyAlignment="1">
      <alignment horizontal="center"/>
    </xf>
    <xf numFmtId="0" fontId="37" fillId="0" borderId="20" xfId="0" applyFont="1" applyFill="1" applyBorder="1" applyAlignment="1">
      <alignment horizontal="left"/>
    </xf>
    <xf numFmtId="0" fontId="37" fillId="0" borderId="0" xfId="0" applyFont="1" applyFill="1" applyBorder="1" applyAlignment="1">
      <alignment horizontal="left"/>
    </xf>
    <xf numFmtId="0" fontId="37" fillId="0" borderId="17" xfId="0" applyFont="1" applyFill="1" applyBorder="1" applyAlignment="1">
      <alignment horizontal="left"/>
    </xf>
    <xf numFmtId="0" fontId="37" fillId="0" borderId="18" xfId="0" applyFont="1" applyFill="1" applyBorder="1" applyAlignment="1">
      <alignment horizontal="left"/>
    </xf>
    <xf numFmtId="0" fontId="37" fillId="0" borderId="22" xfId="0" applyFont="1" applyBorder="1" applyAlignment="1">
      <alignment horizontal="left" vertical="top"/>
    </xf>
    <xf numFmtId="0" fontId="37" fillId="0" borderId="71" xfId="0" applyFont="1" applyBorder="1" applyAlignment="1">
      <alignment horizontal="left" wrapText="1"/>
    </xf>
    <xf numFmtId="0" fontId="37" fillId="0" borderId="46" xfId="0" applyFont="1" applyBorder="1" applyAlignment="1">
      <alignment horizontal="left" wrapText="1"/>
    </xf>
    <xf numFmtId="0" fontId="36" fillId="0" borderId="77" xfId="0" applyFont="1" applyBorder="1" applyAlignment="1">
      <alignment horizontal="center"/>
    </xf>
    <xf numFmtId="0" fontId="36" fillId="0" borderId="18" xfId="0" applyFont="1" applyBorder="1" applyAlignment="1">
      <alignment horizontal="center"/>
    </xf>
    <xf numFmtId="0" fontId="36" fillId="0" borderId="14" xfId="0" applyFont="1" applyBorder="1" applyAlignment="1">
      <alignment horizontal="center"/>
    </xf>
    <xf numFmtId="0" fontId="37" fillId="0" borderId="73" xfId="0" applyFont="1" applyBorder="1" applyAlignment="1">
      <alignment horizontal="left"/>
    </xf>
    <xf numFmtId="0" fontId="37" fillId="0" borderId="73" xfId="0" applyFont="1" applyBorder="1" applyAlignment="1">
      <alignment horizontal="left" wrapText="1"/>
    </xf>
    <xf numFmtId="0" fontId="41" fillId="0" borderId="73" xfId="0" applyFont="1" applyBorder="1" applyAlignment="1">
      <alignment horizontal="left" wrapText="1"/>
    </xf>
    <xf numFmtId="0" fontId="37" fillId="0" borderId="73" xfId="0" applyFont="1" applyBorder="1" applyAlignment="1">
      <alignment horizontal="left" vertical="center" wrapText="1"/>
    </xf>
    <xf numFmtId="0" fontId="37" fillId="0" borderId="71" xfId="0" applyFont="1" applyBorder="1" applyAlignment="1">
      <alignment horizontal="left" vertical="top" wrapText="1"/>
    </xf>
    <xf numFmtId="0" fontId="37" fillId="0" borderId="72" xfId="0" applyFont="1" applyBorder="1" applyAlignment="1">
      <alignment horizontal="left" vertical="top" wrapText="1"/>
    </xf>
    <xf numFmtId="0" fontId="37" fillId="0" borderId="46" xfId="0" applyFont="1" applyBorder="1" applyAlignment="1">
      <alignment horizontal="left" vertical="top" wrapText="1"/>
    </xf>
    <xf numFmtId="0" fontId="37" fillId="0" borderId="46" xfId="0" applyFont="1" applyBorder="1" applyAlignment="1">
      <alignment horizontal="center"/>
    </xf>
    <xf numFmtId="0" fontId="37" fillId="0" borderId="46" xfId="0" applyFont="1" applyBorder="1" applyAlignment="1">
      <alignment horizontal="justify" wrapText="1"/>
    </xf>
    <xf numFmtId="0" fontId="37" fillId="0" borderId="22" xfId="0" applyFont="1" applyBorder="1" applyAlignment="1">
      <alignment horizontal="justify" wrapText="1"/>
    </xf>
    <xf numFmtId="0" fontId="41" fillId="0" borderId="22" xfId="0" applyFont="1" applyBorder="1" applyAlignment="1">
      <alignment horizontal="left" wrapText="1"/>
    </xf>
    <xf numFmtId="0" fontId="36" fillId="0" borderId="48" xfId="0" applyFont="1" applyBorder="1" applyAlignment="1">
      <alignment horizontal="center"/>
    </xf>
    <xf numFmtId="0" fontId="36" fillId="0" borderId="52" xfId="0" applyFont="1" applyBorder="1" applyAlignment="1">
      <alignment horizontal="center"/>
    </xf>
    <xf numFmtId="0" fontId="41" fillId="0" borderId="22" xfId="0" applyFont="1" applyBorder="1" applyAlignment="1">
      <alignment horizontal="justify" wrapText="1"/>
    </xf>
    <xf numFmtId="0" fontId="37" fillId="0" borderId="71" xfId="0" applyFont="1" applyBorder="1" applyAlignment="1">
      <alignment horizontal="center" vertical="top"/>
    </xf>
    <xf numFmtId="0" fontId="37" fillId="0" borderId="72" xfId="0" applyFont="1" applyBorder="1" applyAlignment="1">
      <alignment horizontal="center" vertical="top"/>
    </xf>
    <xf numFmtId="0" fontId="40" fillId="3" borderId="6" xfId="0" applyFont="1" applyFill="1" applyBorder="1" applyAlignment="1">
      <alignment horizontal="center"/>
    </xf>
    <xf numFmtId="0" fontId="40" fillId="3" borderId="7" xfId="0" applyFont="1" applyFill="1" applyBorder="1" applyAlignment="1">
      <alignment horizontal="center"/>
    </xf>
    <xf numFmtId="0" fontId="40" fillId="3" borderId="3" xfId="0" applyFont="1" applyFill="1" applyBorder="1" applyAlignment="1">
      <alignment horizontal="center"/>
    </xf>
    <xf numFmtId="0" fontId="44" fillId="0" borderId="50" xfId="0" applyFont="1" applyBorder="1" applyAlignment="1">
      <alignment horizontal="center"/>
    </xf>
    <xf numFmtId="0" fontId="44" fillId="0" borderId="7" xfId="0" applyFont="1" applyBorder="1" applyAlignment="1">
      <alignment horizontal="center"/>
    </xf>
    <xf numFmtId="0" fontId="44" fillId="0" borderId="3" xfId="0" applyFont="1" applyBorder="1" applyAlignment="1">
      <alignment horizontal="center"/>
    </xf>
    <xf numFmtId="0" fontId="36" fillId="0" borderId="69" xfId="0" applyFont="1" applyBorder="1" applyAlignment="1">
      <alignment horizontal="center" wrapText="1"/>
    </xf>
    <xf numFmtId="0" fontId="37" fillId="0" borderId="22" xfId="0" applyFont="1" applyBorder="1" applyAlignment="1">
      <alignment vertical="top" wrapText="1"/>
    </xf>
    <xf numFmtId="0" fontId="37" fillId="0" borderId="22" xfId="0" applyFont="1" applyBorder="1" applyAlignment="1">
      <alignment horizontal="center" vertical="top" wrapText="1"/>
    </xf>
    <xf numFmtId="0" fontId="37" fillId="0" borderId="22" xfId="0" applyFont="1" applyBorder="1" applyAlignment="1">
      <alignment vertical="top"/>
    </xf>
    <xf numFmtId="0" fontId="41" fillId="0" borderId="22" xfId="0" applyFont="1" applyBorder="1" applyAlignment="1">
      <alignment vertical="top" wrapText="1"/>
    </xf>
    <xf numFmtId="0" fontId="37" fillId="0" borderId="74" xfId="0" applyFont="1" applyBorder="1" applyAlignment="1">
      <alignment horizontal="center" wrapText="1"/>
    </xf>
    <xf numFmtId="0" fontId="37" fillId="0" borderId="10" xfId="0" applyFont="1" applyBorder="1" applyAlignment="1">
      <alignment horizontal="center" wrapText="1"/>
    </xf>
    <xf numFmtId="0" fontId="37" fillId="0" borderId="34" xfId="0" applyFont="1" applyBorder="1" applyAlignment="1">
      <alignment horizontal="left" vertical="top" wrapText="1"/>
    </xf>
    <xf numFmtId="0" fontId="37" fillId="0" borderId="23" xfId="0" applyFont="1" applyBorder="1" applyAlignment="1">
      <alignment horizontal="left" vertical="top" wrapText="1"/>
    </xf>
    <xf numFmtId="0" fontId="37" fillId="0" borderId="37" xfId="0" applyFont="1" applyBorder="1" applyAlignment="1">
      <alignment horizontal="left" vertical="top" wrapText="1"/>
    </xf>
    <xf numFmtId="0" fontId="37" fillId="0" borderId="35" xfId="0" applyFont="1" applyBorder="1" applyAlignment="1">
      <alignment horizontal="left" vertical="top" wrapText="1"/>
    </xf>
    <xf numFmtId="0" fontId="37" fillId="0" borderId="0" xfId="0" applyFont="1" applyBorder="1" applyAlignment="1">
      <alignment horizontal="left" vertical="top" wrapText="1"/>
    </xf>
    <xf numFmtId="0" fontId="37" fillId="0" borderId="38" xfId="0" applyFont="1" applyBorder="1" applyAlignment="1">
      <alignment horizontal="left" vertical="top" wrapText="1"/>
    </xf>
    <xf numFmtId="0" fontId="37" fillId="0" borderId="36" xfId="0" applyFont="1" applyBorder="1" applyAlignment="1">
      <alignment horizontal="left" vertical="top" wrapText="1"/>
    </xf>
    <xf numFmtId="0" fontId="37" fillId="0" borderId="14" xfId="0" applyFont="1" applyBorder="1" applyAlignment="1">
      <alignment horizontal="left" vertical="top" wrapText="1"/>
    </xf>
    <xf numFmtId="0" fontId="37" fillId="0" borderId="39" xfId="0" applyFont="1" applyBorder="1" applyAlignment="1">
      <alignment horizontal="left" vertical="top" wrapText="1"/>
    </xf>
    <xf numFmtId="0" fontId="36" fillId="3" borderId="48" xfId="0" applyFont="1" applyFill="1" applyBorder="1" applyAlignment="1">
      <alignment horizontal="center"/>
    </xf>
    <xf numFmtId="0" fontId="36" fillId="3" borderId="52" xfId="0" applyFont="1" applyFill="1" applyBorder="1" applyAlignment="1">
      <alignment horizontal="center"/>
    </xf>
    <xf numFmtId="0" fontId="36" fillId="0" borderId="46" xfId="0" applyFont="1" applyBorder="1" applyAlignment="1">
      <alignment horizontal="center"/>
    </xf>
    <xf numFmtId="0" fontId="0" fillId="15" borderId="22" xfId="0" applyFill="1" applyBorder="1" applyAlignment="1">
      <alignment horizontal="center" vertical="center" wrapText="1"/>
    </xf>
    <xf numFmtId="176" fontId="0" fillId="16" borderId="22" xfId="0" applyNumberFormat="1" applyFill="1" applyBorder="1" applyAlignment="1">
      <alignment horizontal="center" vertical="center"/>
    </xf>
    <xf numFmtId="176" fontId="0" fillId="0" borderId="22" xfId="0" applyNumberFormat="1" applyFill="1" applyBorder="1" applyAlignment="1">
      <alignment horizontal="center" vertical="center"/>
    </xf>
    <xf numFmtId="176" fontId="0" fillId="8" borderId="22" xfId="0" applyNumberFormat="1" applyFill="1" applyBorder="1" applyAlignment="1">
      <alignment horizontal="center" vertical="center"/>
    </xf>
    <xf numFmtId="176" fontId="0" fillId="15" borderId="22" xfId="0" applyNumberFormat="1" applyFill="1" applyBorder="1" applyAlignment="1">
      <alignment horizontal="center" vertical="center"/>
    </xf>
    <xf numFmtId="0" fontId="0" fillId="15" borderId="22" xfId="0" applyFill="1" applyBorder="1" applyAlignment="1">
      <alignment horizontal="center" vertical="center"/>
    </xf>
    <xf numFmtId="171" fontId="0" fillId="15" borderId="22" xfId="0" applyNumberFormat="1" applyFill="1" applyBorder="1" applyAlignment="1">
      <alignment horizontal="center" vertical="center" wrapText="1"/>
    </xf>
    <xf numFmtId="176" fontId="0" fillId="0" borderId="22" xfId="0" applyNumberFormat="1" applyFill="1" applyBorder="1" applyAlignment="1">
      <alignment horizontal="center" vertical="center" wrapText="1"/>
    </xf>
    <xf numFmtId="176" fontId="3" fillId="0" borderId="22" xfId="0" applyNumberFormat="1" applyFont="1" applyFill="1" applyBorder="1" applyAlignment="1">
      <alignment horizontal="center" vertical="center" wrapText="1"/>
    </xf>
    <xf numFmtId="176" fontId="0" fillId="15" borderId="22" xfId="0" applyNumberFormat="1" applyFill="1" applyBorder="1" applyAlignment="1">
      <alignment horizontal="center" vertical="center" wrapText="1"/>
    </xf>
    <xf numFmtId="176" fontId="3" fillId="0" borderId="67" xfId="0" applyNumberFormat="1" applyFont="1" applyFill="1" applyBorder="1" applyAlignment="1">
      <alignment horizontal="center" vertical="center" wrapText="1"/>
    </xf>
    <xf numFmtId="176" fontId="0" fillId="17" borderId="22" xfId="0" applyNumberFormat="1" applyFill="1" applyBorder="1" applyAlignment="1">
      <alignment horizontal="center" vertical="center"/>
    </xf>
    <xf numFmtId="176" fontId="0" fillId="15" borderId="43" xfId="0" applyNumberFormat="1" applyFill="1" applyBorder="1" applyAlignment="1">
      <alignment horizontal="center" vertical="center"/>
    </xf>
    <xf numFmtId="175" fontId="41" fillId="0" borderId="0" xfId="0" applyNumberFormat="1" applyFont="1" applyBorder="1"/>
    <xf numFmtId="0" fontId="55" fillId="3" borderId="59" xfId="0" applyFont="1" applyFill="1" applyBorder="1" applyAlignment="1">
      <alignment horizontal="center" vertical="top" wrapText="1"/>
    </xf>
    <xf numFmtId="0" fontId="55" fillId="3" borderId="10" xfId="0" applyFont="1" applyFill="1" applyBorder="1" applyAlignment="1">
      <alignment horizontal="center" vertical="top"/>
    </xf>
    <xf numFmtId="0" fontId="55" fillId="3" borderId="26" xfId="0" applyFont="1" applyFill="1" applyBorder="1" applyAlignment="1">
      <alignment horizontal="center" vertical="top"/>
    </xf>
    <xf numFmtId="165" fontId="37" fillId="0" borderId="22" xfId="1" applyFont="1" applyFill="1" applyBorder="1" applyAlignment="1">
      <alignment vertical="center" wrapText="1"/>
    </xf>
    <xf numFmtId="0" fontId="37" fillId="0" borderId="40" xfId="0" applyFont="1" applyFill="1" applyBorder="1" applyAlignment="1">
      <alignment horizontal="center" vertical="center" wrapText="1"/>
    </xf>
    <xf numFmtId="165" fontId="37" fillId="0" borderId="41" xfId="1" applyFont="1" applyFill="1" applyBorder="1" applyAlignment="1">
      <alignment vertical="center" wrapText="1"/>
    </xf>
  </cellXfs>
  <cellStyles count="22">
    <cellStyle name="Comma" xfId="1" builtinId="3"/>
    <cellStyle name="Comma 10" xfId="14"/>
    <cellStyle name="Comma 2" xfId="2"/>
    <cellStyle name="Comma 3" xfId="3"/>
    <cellStyle name="Comma 4" xfId="11"/>
    <cellStyle name="Comma 5" xfId="12"/>
    <cellStyle name="Comma 6" xfId="13"/>
    <cellStyle name="Comma 7" xfId="17"/>
    <cellStyle name="Hyperlink" xfId="20" builtinId="8"/>
    <cellStyle name="Normal" xfId="0" builtinId="0"/>
    <cellStyle name="Normal 2" xfId="4"/>
    <cellStyle name="Normal 2 2" xfId="19"/>
    <cellStyle name="Normal 25" xfId="5"/>
    <cellStyle name="Normal 3" xfId="10"/>
    <cellStyle name="Normal 3 2" xfId="21"/>
    <cellStyle name="Normal 34" xfId="6"/>
    <cellStyle name="Normal 4" xfId="15"/>
    <cellStyle name="Normal 47" xfId="7"/>
    <cellStyle name="Normal 5" xfId="16"/>
    <cellStyle name="Normal 6" xfId="18"/>
    <cellStyle name="Normal 8" xfId="8"/>
    <cellStyle name="Percent" xfId="9" builtinId="5"/>
  </cellStyles>
  <dxfs count="3">
    <dxf>
      <fill>
        <patternFill patternType="solid">
          <fgColor rgb="FF92D050"/>
          <bgColor rgb="FF000000"/>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99CCFF"/>
    </mru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Akme%20Projects%20Limited\CLAIMS%20-%20AKME\Claim%20Sheet%20IRP%20and%20new%20301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Users\TOSHIBA\Downloads\Workin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ER\Users\TOSHIBA\Downloads\Copy%20of%20Consolidated%20Claims%20AKME%20(Si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ERVER\Akme%20Projects%20Limited\CLAIMS%20-%20AKME\Claimants%20as%20per%20Tally.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ayank%20Gupta/Mayank%2011.06.2019/SKYHIGH/SKYHIGH%20WORKING%20SHEE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URAG"/>
      <sheetName val="Interest as per us on payment b"/>
      <sheetName val="Penalty as per us"/>
      <sheetName val="Payment detail"/>
      <sheetName val="HDFC Claims"/>
      <sheetName val="Pending Claims"/>
    </sheetNames>
    <sheetDataSet>
      <sheetData sheetId="0" refreshError="1"/>
      <sheetData sheetId="1" refreshError="1">
        <row r="5">
          <cell r="C5" t="str">
            <v>Ajit Singh Sethi</v>
          </cell>
          <cell r="D5">
            <v>5325202</v>
          </cell>
          <cell r="E5">
            <v>2430345.3852054793</v>
          </cell>
        </row>
        <row r="6">
          <cell r="C6" t="str">
            <v>Amit Gupta and Rachita Gupta</v>
          </cell>
          <cell r="D6">
            <v>5759778.0099999998</v>
          </cell>
          <cell r="E6">
            <v>2700147.1829150687</v>
          </cell>
        </row>
        <row r="7">
          <cell r="C7" t="str">
            <v>Amit Kumar</v>
          </cell>
          <cell r="D7">
            <v>5660134</v>
          </cell>
          <cell r="E7">
            <v>2546007.8196164384</v>
          </cell>
        </row>
        <row r="8">
          <cell r="C8" t="str">
            <v>Amit Sodhi</v>
          </cell>
          <cell r="D8">
            <v>6345797.9800000004</v>
          </cell>
          <cell r="E8">
            <v>2554161.9509873977</v>
          </cell>
        </row>
        <row r="9">
          <cell r="C9" t="str">
            <v>Anant Pokhrana and Rampal Rathi</v>
          </cell>
          <cell r="D9">
            <v>5678324.0099999998</v>
          </cell>
          <cell r="E9">
            <v>2403677.6714301375</v>
          </cell>
        </row>
        <row r="10">
          <cell r="C10" t="str">
            <v>Aqueel Ahmad</v>
          </cell>
          <cell r="D10">
            <v>8032199</v>
          </cell>
          <cell r="E10">
            <v>3036152.5551780825</v>
          </cell>
        </row>
        <row r="11">
          <cell r="C11" t="str">
            <v>Arun Kharb &amp; Mrs. Sarita Sangwan</v>
          </cell>
          <cell r="D11">
            <v>5851345</v>
          </cell>
          <cell r="E11">
            <v>2556747.0198356165</v>
          </cell>
        </row>
        <row r="12">
          <cell r="C12" t="str">
            <v>Asha Garg</v>
          </cell>
          <cell r="D12">
            <v>6377874</v>
          </cell>
          <cell r="E12">
            <v>2769908.4745205482</v>
          </cell>
        </row>
        <row r="13">
          <cell r="C13" t="str">
            <v>Chandra Pratap Singh / Manoj Kumar / Vishal Verma</v>
          </cell>
          <cell r="D13">
            <v>6047061.5999999996</v>
          </cell>
          <cell r="E13">
            <v>2563514.6588931517</v>
          </cell>
        </row>
        <row r="14">
          <cell r="C14" t="str">
            <v xml:space="preserve"> Dipika Vasdev </v>
          </cell>
          <cell r="D14">
            <v>4771784.55</v>
          </cell>
          <cell r="E14">
            <v>2050307.5916712328</v>
          </cell>
        </row>
        <row r="15">
          <cell r="C15" t="str">
            <v>Gaurav Bakshi</v>
          </cell>
          <cell r="D15">
            <v>4159131</v>
          </cell>
          <cell r="E15">
            <v>1825912.5036712326</v>
          </cell>
        </row>
        <row r="16">
          <cell r="C16" t="str">
            <v>Gopal Krishna &amp; Asha Rani</v>
          </cell>
          <cell r="D16">
            <v>5100000</v>
          </cell>
          <cell r="E16">
            <v>2188054.7945205481</v>
          </cell>
        </row>
        <row r="17">
          <cell r="C17" t="str">
            <v>Himanshu Shekhar</v>
          </cell>
          <cell r="D17">
            <v>9025671</v>
          </cell>
          <cell r="E17">
            <v>3471833.3133150684</v>
          </cell>
        </row>
        <row r="18">
          <cell r="C18" t="str">
            <v>Kailash Kumari &amp; Tulsi Dass Saluja</v>
          </cell>
          <cell r="D18">
            <v>5939530</v>
          </cell>
          <cell r="E18">
            <v>2514245.0702465759</v>
          </cell>
        </row>
        <row r="19">
          <cell r="C19" t="str">
            <v>Laxman Aggarwal</v>
          </cell>
          <cell r="D19">
            <v>5620901</v>
          </cell>
          <cell r="E19">
            <v>2383701.1064109593</v>
          </cell>
        </row>
        <row r="20">
          <cell r="C20" t="str">
            <v>Mahesh Dutt Kala</v>
          </cell>
          <cell r="D20">
            <v>8461825</v>
          </cell>
          <cell r="E20">
            <v>3518113.2517260276</v>
          </cell>
        </row>
        <row r="21">
          <cell r="C21" t="str">
            <v>Nini Nanda</v>
          </cell>
          <cell r="D21">
            <v>5169696</v>
          </cell>
          <cell r="E21">
            <v>2958465.3676712327</v>
          </cell>
        </row>
        <row r="22">
          <cell r="C22" t="str">
            <v>Prerna Garg &amp; R.C Garg</v>
          </cell>
          <cell r="D22">
            <v>7739161</v>
          </cell>
          <cell r="E22">
            <v>1916439.9962739723</v>
          </cell>
        </row>
        <row r="23">
          <cell r="C23" t="str">
            <v>R.S Manti / Santokh Mantri</v>
          </cell>
          <cell r="D23">
            <v>4721967</v>
          </cell>
          <cell r="E23">
            <v>2066757.8119452053</v>
          </cell>
        </row>
        <row r="24">
          <cell r="C24" t="str">
            <v>Rimple Dhiraaj</v>
          </cell>
          <cell r="D24">
            <v>6032796</v>
          </cell>
          <cell r="E24">
            <v>2570110.6974246576</v>
          </cell>
        </row>
        <row r="25">
          <cell r="C25" t="str">
            <v>Sachin Virmani</v>
          </cell>
          <cell r="D25">
            <v>6239642</v>
          </cell>
          <cell r="E25">
            <v>2748577.3790684934</v>
          </cell>
        </row>
        <row r="26">
          <cell r="C26" t="str">
            <v xml:space="preserve">Sanjay Gupta </v>
          </cell>
          <cell r="D26">
            <v>6047061</v>
          </cell>
          <cell r="E26">
            <v>2556904.0782465753</v>
          </cell>
        </row>
        <row r="27">
          <cell r="C27" t="str">
            <v>Sashwat Sharma</v>
          </cell>
          <cell r="D27">
            <v>3044382</v>
          </cell>
          <cell r="E27">
            <v>1252881.3396164384</v>
          </cell>
        </row>
        <row r="28">
          <cell r="C28" t="str">
            <v>Sonal Anand</v>
          </cell>
          <cell r="D28">
            <v>7248021</v>
          </cell>
          <cell r="E28">
            <v>3416044.1575890416</v>
          </cell>
        </row>
        <row r="29">
          <cell r="C29" t="str">
            <v>Sudhir Sharma</v>
          </cell>
          <cell r="D29">
            <v>10324940</v>
          </cell>
          <cell r="E29">
            <v>4544340.4186301371</v>
          </cell>
        </row>
        <row r="30">
          <cell r="C30" t="str">
            <v>Harinder Singh/ Swaran Kaur</v>
          </cell>
          <cell r="D30">
            <v>3800025</v>
          </cell>
          <cell r="E30">
            <v>1913950.4155616439</v>
          </cell>
        </row>
        <row r="31">
          <cell r="C31" t="str">
            <v>Tarun Chawla &amp; Khushi Vats</v>
          </cell>
          <cell r="D31">
            <v>5871700</v>
          </cell>
          <cell r="E31">
            <v>2645569.7606575345</v>
          </cell>
        </row>
        <row r="32">
          <cell r="C32" t="str">
            <v xml:space="preserve"> Tason Holdings Pvt. Ltd</v>
          </cell>
          <cell r="D32">
            <v>3865158</v>
          </cell>
          <cell r="E32">
            <v>1605281.8283835617</v>
          </cell>
        </row>
        <row r="33">
          <cell r="C33" t="str">
            <v xml:space="preserve"> Tason Holdings Pvt. Ltd</v>
          </cell>
          <cell r="D33">
            <v>5649210</v>
          </cell>
          <cell r="E33">
            <v>2380251.9197808215</v>
          </cell>
        </row>
        <row r="34">
          <cell r="C34" t="str">
            <v>Tripta Agarwal &amp; Arvind Kumar Agarwal</v>
          </cell>
          <cell r="D34">
            <v>7607298</v>
          </cell>
          <cell r="E34">
            <v>3207297.6043835618</v>
          </cell>
        </row>
        <row r="35">
          <cell r="C35" t="str">
            <v>Veena Gupta</v>
          </cell>
          <cell r="D35">
            <v>6557719</v>
          </cell>
          <cell r="E35">
            <v>2787560.1499178079</v>
          </cell>
        </row>
        <row r="36">
          <cell r="C36" t="str">
            <v>Vijay Kumar Tanwar</v>
          </cell>
          <cell r="D36">
            <v>6914955</v>
          </cell>
          <cell r="E36">
            <v>2633145.9973698631</v>
          </cell>
        </row>
        <row r="37">
          <cell r="C37" t="str">
            <v>Vikas Sharma &amp; Divya Sharma</v>
          </cell>
          <cell r="D37">
            <v>5064624</v>
          </cell>
          <cell r="E37">
            <v>2147391.6990684932</v>
          </cell>
        </row>
        <row r="38">
          <cell r="C38" t="str">
            <v>Waryam Singh</v>
          </cell>
          <cell r="D38">
            <v>6051498</v>
          </cell>
          <cell r="E38">
            <v>2547992.9968219176</v>
          </cell>
        </row>
        <row r="39">
          <cell r="C39" t="str">
            <v xml:space="preserve">M/S. Aaa landmark pvt ltd </v>
          </cell>
          <cell r="D39">
            <v>4376305</v>
          </cell>
          <cell r="E39">
            <v>1947822.0729863015</v>
          </cell>
        </row>
        <row r="40">
          <cell r="C40" t="str">
            <v>Aayush Mattoo</v>
          </cell>
          <cell r="D40">
            <v>7684693</v>
          </cell>
          <cell r="E40">
            <v>3217545.4592876709</v>
          </cell>
        </row>
        <row r="41">
          <cell r="C41" t="str">
            <v>Abhinay Vaidya/ Madhu Vaidya</v>
          </cell>
          <cell r="D41">
            <v>5759769</v>
          </cell>
          <cell r="E41">
            <v>2702632.5453150691</v>
          </cell>
        </row>
        <row r="42">
          <cell r="C42" t="str">
            <v>Mr. Abhishek Dhingra</v>
          </cell>
          <cell r="D42">
            <v>6250112</v>
          </cell>
          <cell r="E42">
            <v>2700765.7635068493</v>
          </cell>
        </row>
        <row r="43">
          <cell r="C43" t="str">
            <v>Adarsh Kumar</v>
          </cell>
          <cell r="D43">
            <v>6343355</v>
          </cell>
          <cell r="E43">
            <v>2739105.0093150684</v>
          </cell>
        </row>
        <row r="44">
          <cell r="C44" t="str">
            <v>Aditya Mehta</v>
          </cell>
          <cell r="D44">
            <v>6150638</v>
          </cell>
          <cell r="E44">
            <v>2656476.1683287672</v>
          </cell>
        </row>
        <row r="45">
          <cell r="C45" t="str">
            <v xml:space="preserve">Mr. Ajay Kumar Agarwal </v>
          </cell>
          <cell r="D45">
            <v>9569501</v>
          </cell>
          <cell r="E45">
            <v>3759914.1293150685</v>
          </cell>
        </row>
        <row r="46">
          <cell r="C46" t="str">
            <v>Akhilesh Kumar Gupta and Ruchi Gupta</v>
          </cell>
          <cell r="D46">
            <v>6576202</v>
          </cell>
          <cell r="E46">
            <v>2692875.6970958901</v>
          </cell>
        </row>
        <row r="47">
          <cell r="C47" t="str">
            <v>Amandeep Sachdeva</v>
          </cell>
          <cell r="D47">
            <v>6033390</v>
          </cell>
          <cell r="E47">
            <v>2553596.332712329</v>
          </cell>
        </row>
        <row r="48">
          <cell r="C48" t="str">
            <v>Amit Gupta &amp; Daksh Goyal</v>
          </cell>
          <cell r="D48">
            <v>4913942</v>
          </cell>
          <cell r="E48">
            <v>2268621.9375342466</v>
          </cell>
        </row>
        <row r="49">
          <cell r="C49" t="str">
            <v>Amit Krishan Luthra &amp; Praketa Luthra</v>
          </cell>
          <cell r="D49">
            <v>7681411</v>
          </cell>
          <cell r="E49">
            <v>3247316.475178082</v>
          </cell>
        </row>
        <row r="50">
          <cell r="C50" t="str">
            <v>Amit Verma( Sunita Dagar- Payments also made by her</v>
          </cell>
          <cell r="D50">
            <v>5817365.3499999996</v>
          </cell>
          <cell r="E50">
            <v>2498237.1753490409</v>
          </cell>
        </row>
        <row r="51">
          <cell r="C51" t="str">
            <v>Amit Yadav and Dr Munesh Yadav</v>
          </cell>
          <cell r="D51">
            <v>6055283.0099999998</v>
          </cell>
          <cell r="E51">
            <v>2557419.5006334246</v>
          </cell>
        </row>
        <row r="52">
          <cell r="C52" t="str">
            <v>Anil Kumar Grover and Indu Grover</v>
          </cell>
          <cell r="D52">
            <v>5583593</v>
          </cell>
          <cell r="E52">
            <v>2392243.9467397262</v>
          </cell>
        </row>
        <row r="53">
          <cell r="C53" t="str">
            <v>Anita Yadav</v>
          </cell>
          <cell r="D53">
            <v>5983757</v>
          </cell>
          <cell r="E53">
            <v>2562835.7312876713</v>
          </cell>
        </row>
        <row r="54">
          <cell r="C54" t="str">
            <v>Ankit Goel and Deepali Goel</v>
          </cell>
          <cell r="D54">
            <v>5878153</v>
          </cell>
          <cell r="E54">
            <v>2519095.6188493152</v>
          </cell>
        </row>
        <row r="55">
          <cell r="C55" t="str">
            <v xml:space="preserve">Anuradha Kapoor </v>
          </cell>
          <cell r="D55">
            <v>5683539</v>
          </cell>
          <cell r="E55">
            <v>2431864.738410959</v>
          </cell>
        </row>
        <row r="56">
          <cell r="C56" t="str">
            <v>Anurag Upadhyaya &amp; Bhavna Upadhyaya</v>
          </cell>
          <cell r="D56">
            <v>6319921</v>
          </cell>
          <cell r="E56">
            <v>2666771.5026849317</v>
          </cell>
        </row>
        <row r="57">
          <cell r="C57" t="str">
            <v>Arun Anand</v>
          </cell>
          <cell r="D57">
            <v>12465600</v>
          </cell>
          <cell r="E57">
            <v>6035399.5397260273</v>
          </cell>
        </row>
        <row r="58">
          <cell r="C58" t="str">
            <v>Arun Kumar Puri</v>
          </cell>
          <cell r="D58">
            <v>3589497</v>
          </cell>
          <cell r="E58">
            <v>1595727.2006575342</v>
          </cell>
        </row>
        <row r="59">
          <cell r="C59" t="str">
            <v>Arvind Kochar</v>
          </cell>
          <cell r="D59">
            <v>5157978</v>
          </cell>
          <cell r="E59">
            <v>2371974.177315068</v>
          </cell>
        </row>
        <row r="60">
          <cell r="C60" t="str">
            <v>Ashish Bhatia &amp; Manila Bhatia</v>
          </cell>
          <cell r="D60">
            <v>4992227</v>
          </cell>
          <cell r="E60">
            <v>2277523.2920547947</v>
          </cell>
        </row>
        <row r="61">
          <cell r="C61" t="str">
            <v>Ashok Kumar Ponniah</v>
          </cell>
          <cell r="D61">
            <v>6055369</v>
          </cell>
          <cell r="E61">
            <v>2554319.5736986306</v>
          </cell>
        </row>
        <row r="62">
          <cell r="C62" t="str">
            <v>Balvinder Kaur &amp; Kuldip Singh Virdi</v>
          </cell>
          <cell r="D62">
            <v>6858764</v>
          </cell>
          <cell r="E62">
            <v>2940263.2780273976</v>
          </cell>
        </row>
        <row r="63">
          <cell r="C63" t="str">
            <v>Bapi Datta / Anamika Datta</v>
          </cell>
          <cell r="D63">
            <v>6947713.1099999994</v>
          </cell>
          <cell r="E63">
            <v>2943051.2623408223</v>
          </cell>
        </row>
        <row r="64">
          <cell r="C64" t="str">
            <v>Mrs. Bina Ramani Kewal</v>
          </cell>
          <cell r="D64">
            <v>5999242</v>
          </cell>
          <cell r="E64">
            <v>2837408.6215890413</v>
          </cell>
        </row>
        <row r="65">
          <cell r="C65" t="str">
            <v>Chetan Agarwal</v>
          </cell>
          <cell r="D65">
            <v>7040646</v>
          </cell>
          <cell r="E65">
            <v>2906652.1087123291</v>
          </cell>
        </row>
        <row r="66">
          <cell r="C66" t="str">
            <v>Cristina Patnaik</v>
          </cell>
          <cell r="D66">
            <v>6180551</v>
          </cell>
          <cell r="E66">
            <v>2857899.0128219179</v>
          </cell>
        </row>
        <row r="67">
          <cell r="C67" t="str">
            <v>Deepali Chandhoke</v>
          </cell>
          <cell r="D67">
            <v>8966922</v>
          </cell>
          <cell r="E67">
            <v>4306015.5870684935</v>
          </cell>
        </row>
        <row r="68">
          <cell r="C68" t="str">
            <v>Devinder Kumar &amp; Usha Gupta</v>
          </cell>
          <cell r="D68">
            <v>6523468</v>
          </cell>
          <cell r="E68">
            <v>2819682.6185205481</v>
          </cell>
        </row>
        <row r="69">
          <cell r="C69" t="str">
            <v>Dinesh Kumar Jindal</v>
          </cell>
          <cell r="D69">
            <v>5485310.0099999998</v>
          </cell>
          <cell r="E69">
            <v>2281051.031609863</v>
          </cell>
        </row>
        <row r="70">
          <cell r="C70" t="str">
            <v>Dinesh Upadhyay</v>
          </cell>
          <cell r="D70">
            <v>4999579</v>
          </cell>
          <cell r="E70">
            <v>2302362.6513972604</v>
          </cell>
        </row>
        <row r="71">
          <cell r="C71" t="str">
            <v>Dipika Vasdev</v>
          </cell>
          <cell r="D71">
            <v>4771783</v>
          </cell>
          <cell r="E71">
            <v>881458.3449863015</v>
          </cell>
        </row>
        <row r="72">
          <cell r="C72" t="str">
            <v>Divya Jindal</v>
          </cell>
          <cell r="D72">
            <v>6300000.0199999996</v>
          </cell>
          <cell r="E72">
            <v>2527755.2919320548</v>
          </cell>
        </row>
        <row r="73">
          <cell r="C73" t="str">
            <v>Ishwar Anand Yadav &amp; Suman Yadav</v>
          </cell>
          <cell r="D73">
            <v>7031366.46</v>
          </cell>
          <cell r="E73">
            <v>3146370.746809863</v>
          </cell>
        </row>
        <row r="74">
          <cell r="C74" t="str">
            <v>Dwijinder Parkash/mohinder Parkash</v>
          </cell>
          <cell r="D74">
            <v>7833403</v>
          </cell>
          <cell r="E74">
            <v>3560757.3913424658</v>
          </cell>
        </row>
        <row r="75">
          <cell r="C75" t="str">
            <v>G. Thiagarajan &amp; T. Shanthi</v>
          </cell>
          <cell r="D75">
            <v>6922356</v>
          </cell>
          <cell r="E75">
            <v>2863030.3504657531</v>
          </cell>
        </row>
        <row r="76">
          <cell r="C76" t="str">
            <v>Gagan Agrawal &amp; Ruchi Agarwal</v>
          </cell>
          <cell r="D76">
            <v>6970523.04</v>
          </cell>
          <cell r="E76">
            <v>2890833.5908909589</v>
          </cell>
        </row>
        <row r="77">
          <cell r="C77" t="str">
            <v>Gayatree Anand &amp; Renu Anand</v>
          </cell>
          <cell r="D77">
            <v>4457254</v>
          </cell>
          <cell r="E77">
            <v>2010018.1461917809</v>
          </cell>
        </row>
        <row r="78">
          <cell r="C78" t="str">
            <v>Harpreet Singh Sethi &amp; Narinder Singh Sethi</v>
          </cell>
          <cell r="D78">
            <v>6041913</v>
          </cell>
          <cell r="E78">
            <v>2532808.9613150684</v>
          </cell>
        </row>
        <row r="79">
          <cell r="C79" t="str">
            <v>Himanshu Aggarwal</v>
          </cell>
          <cell r="D79">
            <v>6047062</v>
          </cell>
          <cell r="E79">
            <v>2573646.7745753429</v>
          </cell>
        </row>
        <row r="80">
          <cell r="C80" t="str">
            <v>Jag Pal Singh</v>
          </cell>
          <cell r="D80">
            <v>5115555.01</v>
          </cell>
          <cell r="E80">
            <v>2325742.8258652054</v>
          </cell>
        </row>
        <row r="81">
          <cell r="C81" t="str">
            <v>Jogesh Sahni &amp; Monica Sahni</v>
          </cell>
          <cell r="D81">
            <v>4998109</v>
          </cell>
          <cell r="E81">
            <v>2299676.5564931501</v>
          </cell>
        </row>
        <row r="82">
          <cell r="C82" t="str">
            <v>Jossy John</v>
          </cell>
          <cell r="D82">
            <v>6955476</v>
          </cell>
          <cell r="E82">
            <v>2978982.6586301364</v>
          </cell>
        </row>
        <row r="83">
          <cell r="C83" t="str">
            <v>Joy Realtors Pvt.Ltd</v>
          </cell>
          <cell r="D83">
            <v>6508686</v>
          </cell>
          <cell r="E83">
            <v>2996339.1202191785</v>
          </cell>
        </row>
        <row r="84">
          <cell r="C84" t="str">
            <v>Kalpana</v>
          </cell>
          <cell r="D84">
            <v>6914955</v>
          </cell>
          <cell r="E84">
            <v>2870744.271780822</v>
          </cell>
        </row>
        <row r="85">
          <cell r="C85" t="str">
            <v>Kamayani Kanwar</v>
          </cell>
          <cell r="D85">
            <v>3657501</v>
          </cell>
          <cell r="E85">
            <v>1481000.343452055</v>
          </cell>
        </row>
        <row r="86">
          <cell r="C86" t="str">
            <v>Kanupriya Arora</v>
          </cell>
          <cell r="D86">
            <v>5233181</v>
          </cell>
          <cell r="E86">
            <v>2385999.9734794521</v>
          </cell>
        </row>
        <row r="87">
          <cell r="C87" t="str">
            <v>Kapil N Vaid</v>
          </cell>
          <cell r="D87">
            <v>6899144</v>
          </cell>
          <cell r="E87">
            <v>2743963.0316712325</v>
          </cell>
        </row>
        <row r="88">
          <cell r="C88" t="str">
            <v>Kirti Nidhi Vig</v>
          </cell>
          <cell r="D88">
            <v>5670007</v>
          </cell>
          <cell r="E88">
            <v>2217950.4872328769</v>
          </cell>
        </row>
        <row r="89">
          <cell r="C89" t="str">
            <v>Kishan Kumar  Gupta &amp; Mithlesh Gupta</v>
          </cell>
          <cell r="D89">
            <v>6523468</v>
          </cell>
          <cell r="E89">
            <v>2818933.7106849314</v>
          </cell>
        </row>
        <row r="90">
          <cell r="C90" t="str">
            <v>Kusum Garg</v>
          </cell>
          <cell r="D90">
            <v>6598999</v>
          </cell>
          <cell r="E90">
            <v>3034446.8743013702</v>
          </cell>
        </row>
        <row r="91">
          <cell r="C91" t="str">
            <v>Lubna Rehman and Mafzur Rehman</v>
          </cell>
          <cell r="D91">
            <v>5263007</v>
          </cell>
          <cell r="E91">
            <v>2373964.1233972604</v>
          </cell>
        </row>
        <row r="92">
          <cell r="C92" t="str">
            <v>Madhu Mishra &amp; Chandra Shekhar Mishra &amp; Jay Prakash Mishra</v>
          </cell>
          <cell r="D92">
            <v>7080631</v>
          </cell>
          <cell r="E92">
            <v>2886276.1865205476</v>
          </cell>
        </row>
        <row r="93">
          <cell r="C93" t="str">
            <v xml:space="preserve">Mallika Batra &amp; Charanjeev Batra </v>
          </cell>
          <cell r="D93">
            <v>9948191</v>
          </cell>
          <cell r="E93">
            <v>4170728.5556164384</v>
          </cell>
        </row>
        <row r="94">
          <cell r="C94" t="str">
            <v>Manab Dutta &amp; Jayati Dutta</v>
          </cell>
          <cell r="D94">
            <v>6831572</v>
          </cell>
          <cell r="E94">
            <v>2760913.6284931507</v>
          </cell>
        </row>
        <row r="95">
          <cell r="C95" t="str">
            <v>Manvdeep Singh</v>
          </cell>
          <cell r="D95">
            <v>5874706</v>
          </cell>
          <cell r="E95">
            <v>2582702.1306301365</v>
          </cell>
        </row>
        <row r="96">
          <cell r="C96" t="str">
            <v>Manisha Sachdeva/ Sabrina Sachdeva</v>
          </cell>
          <cell r="D96">
            <v>7022600</v>
          </cell>
          <cell r="E96">
            <v>2918155.3972602738</v>
          </cell>
        </row>
        <row r="97">
          <cell r="C97" t="str">
            <v>Manjeet Kaur</v>
          </cell>
          <cell r="D97">
            <v>4361754</v>
          </cell>
          <cell r="E97">
            <v>1855057.2997260273</v>
          </cell>
        </row>
        <row r="98">
          <cell r="C98" t="str">
            <v>Manoj Kumar &amp; Manvi Kumar</v>
          </cell>
          <cell r="D98">
            <v>6047061</v>
          </cell>
          <cell r="E98">
            <v>2588812.1635068497</v>
          </cell>
        </row>
        <row r="99">
          <cell r="C99" t="str">
            <v>Manoj Rajpal &amp; Mrs. Nisha Rajpal</v>
          </cell>
          <cell r="D99">
            <v>6313266</v>
          </cell>
          <cell r="E99">
            <v>2777613.2223561648</v>
          </cell>
        </row>
        <row r="100">
          <cell r="C100" t="str">
            <v>Maya Patnaik</v>
          </cell>
          <cell r="D100">
            <v>1332125</v>
          </cell>
          <cell r="E100">
            <v>719128.52054794517</v>
          </cell>
        </row>
        <row r="101">
          <cell r="C101" t="str">
            <v>Mohammad Umer Ansari</v>
          </cell>
          <cell r="D101">
            <v>6172015</v>
          </cell>
          <cell r="E101">
            <v>2832075.0115068485</v>
          </cell>
        </row>
        <row r="102">
          <cell r="C102" t="str">
            <v>Mridul Goel</v>
          </cell>
          <cell r="D102">
            <v>5345343</v>
          </cell>
          <cell r="E102">
            <v>2351916.5957260276</v>
          </cell>
        </row>
        <row r="103">
          <cell r="C103" t="str">
            <v>Mridul Goel HUF</v>
          </cell>
          <cell r="D103">
            <v>5345343</v>
          </cell>
          <cell r="E103">
            <v>2352574.2132602739</v>
          </cell>
        </row>
        <row r="104">
          <cell r="C104" t="str">
            <v>Munish dayal Mathur</v>
          </cell>
          <cell r="D104">
            <v>6693997</v>
          </cell>
          <cell r="E104">
            <v>2854900.6855890411</v>
          </cell>
        </row>
        <row r="105">
          <cell r="C105" t="str">
            <v>Namita Mahajan</v>
          </cell>
          <cell r="D105">
            <v>3405887</v>
          </cell>
          <cell r="E105">
            <v>1579127.0305753425</v>
          </cell>
        </row>
        <row r="106">
          <cell r="C106" t="str">
            <v>Nand Kumar Singh</v>
          </cell>
          <cell r="D106">
            <v>6047061</v>
          </cell>
          <cell r="E106">
            <v>2657261.9798356164</v>
          </cell>
        </row>
        <row r="107">
          <cell r="C107" t="str">
            <v>Naresh Kumar Talwar &amp; Ritu Talwar</v>
          </cell>
          <cell r="D107">
            <v>7872187</v>
          </cell>
          <cell r="E107">
            <v>3272901.1647123275</v>
          </cell>
        </row>
        <row r="108">
          <cell r="C108" t="str">
            <v>Naresh Kumar Tilak Raj Bahri</v>
          </cell>
          <cell r="D108">
            <v>6809280</v>
          </cell>
          <cell r="E108">
            <v>3141321.6760547943</v>
          </cell>
        </row>
        <row r="109">
          <cell r="C109" t="str">
            <v>Narinder Sharawat</v>
          </cell>
          <cell r="D109">
            <v>5318872</v>
          </cell>
          <cell r="E109">
            <v>2374183.9132054797</v>
          </cell>
        </row>
        <row r="110">
          <cell r="C110" t="str">
            <v>Naveen Chitkara</v>
          </cell>
          <cell r="D110">
            <v>5704761</v>
          </cell>
          <cell r="E110">
            <v>2509259.3806027402</v>
          </cell>
        </row>
        <row r="111">
          <cell r="C111" t="str">
            <v>Navnitya Parkash Goyal</v>
          </cell>
          <cell r="D111">
            <v>6523470</v>
          </cell>
          <cell r="E111">
            <v>2865807.8323287671</v>
          </cell>
        </row>
        <row r="112">
          <cell r="C112" t="str">
            <v>Gurmukh S Asnani</v>
          </cell>
          <cell r="D112">
            <v>6682876</v>
          </cell>
          <cell r="E112">
            <v>2807704.8195068496</v>
          </cell>
        </row>
        <row r="113">
          <cell r="C113" t="str">
            <v>Neeru Bansal</v>
          </cell>
          <cell r="D113">
            <v>8800000</v>
          </cell>
          <cell r="E113">
            <v>3143276.7123287674</v>
          </cell>
        </row>
        <row r="114">
          <cell r="C114" t="str">
            <v>Nirbhai Singh &amp; Jarnail Singh</v>
          </cell>
          <cell r="D114">
            <v>4202000</v>
          </cell>
          <cell r="E114">
            <v>1922793.9726027397</v>
          </cell>
        </row>
        <row r="115">
          <cell r="C115" t="str">
            <v>Nisha Rani Bansal/satish Chander</v>
          </cell>
          <cell r="D115">
            <v>5567136</v>
          </cell>
          <cell r="E115">
            <v>2514279.155068493</v>
          </cell>
        </row>
        <row r="116">
          <cell r="C116" t="str">
            <v>Nitin Gulati &amp; Aarti Gulati</v>
          </cell>
          <cell r="D116">
            <v>7792805</v>
          </cell>
          <cell r="E116">
            <v>3211174.5435616439</v>
          </cell>
        </row>
        <row r="117">
          <cell r="C117" t="str">
            <v>Prasoon Chauhan</v>
          </cell>
          <cell r="D117">
            <v>8569399</v>
          </cell>
          <cell r="E117">
            <v>3372023.2797808219</v>
          </cell>
        </row>
        <row r="118">
          <cell r="C118" t="str">
            <v>Prem Kumar Goyal</v>
          </cell>
          <cell r="D118">
            <v>5683451</v>
          </cell>
          <cell r="E118">
            <v>2452858.8543561641</v>
          </cell>
        </row>
        <row r="119">
          <cell r="C119" t="str">
            <v>Poonam Munjal &amp; Prem Munjal</v>
          </cell>
          <cell r="D119">
            <v>5141587</v>
          </cell>
          <cell r="E119">
            <v>2246141.6120547941</v>
          </cell>
        </row>
        <row r="120">
          <cell r="C120" t="str">
            <v>Priyanka Jain</v>
          </cell>
          <cell r="D120">
            <v>5812622</v>
          </cell>
          <cell r="E120">
            <v>2527485.6545753423</v>
          </cell>
        </row>
        <row r="121">
          <cell r="C121" t="str">
            <v>Rahul Arora &amp; Saroj Arora</v>
          </cell>
          <cell r="D121">
            <v>3700280</v>
          </cell>
          <cell r="E121">
            <v>1687635.84</v>
          </cell>
        </row>
        <row r="122">
          <cell r="C122" t="str">
            <v>Rahul Nahar</v>
          </cell>
          <cell r="D122">
            <v>5945766</v>
          </cell>
          <cell r="E122">
            <v>2710195.4921643836</v>
          </cell>
        </row>
        <row r="123">
          <cell r="C123" t="str">
            <v>Rajarajan Viswanathan</v>
          </cell>
          <cell r="D123">
            <v>7303910</v>
          </cell>
          <cell r="E123">
            <v>3166202.7574794521</v>
          </cell>
        </row>
        <row r="124">
          <cell r="C124" t="str">
            <v>Rajeev Aggarwal &amp; Amita Aggrawal</v>
          </cell>
          <cell r="D124">
            <v>5683334</v>
          </cell>
          <cell r="E124">
            <v>2598579.0235616434</v>
          </cell>
        </row>
        <row r="125">
          <cell r="C125" t="str">
            <v>Rajeev mahajan &amp; Rohit Savara</v>
          </cell>
          <cell r="D125">
            <v>7733816</v>
          </cell>
          <cell r="E125">
            <v>3457320.9740273971</v>
          </cell>
        </row>
        <row r="126">
          <cell r="C126" t="str">
            <v>Rajesh Choudhary &amp; Ram Singh Choudhary</v>
          </cell>
          <cell r="D126">
            <v>6033223</v>
          </cell>
          <cell r="E126">
            <v>2555376.9012602735</v>
          </cell>
        </row>
        <row r="127">
          <cell r="C127" t="str">
            <v xml:space="preserve">Rajesh Jain </v>
          </cell>
          <cell r="D127">
            <v>4819348</v>
          </cell>
          <cell r="E127">
            <v>2131090.488328767</v>
          </cell>
        </row>
        <row r="128">
          <cell r="C128" t="str">
            <v>Rajesh kumar Gupta</v>
          </cell>
          <cell r="D128">
            <v>5786798</v>
          </cell>
          <cell r="E128">
            <v>2514495.7663561637</v>
          </cell>
        </row>
        <row r="129">
          <cell r="C129" t="str">
            <v xml:space="preserve">Rakesh Gangadhar &amp; Kusam Bala, </v>
          </cell>
          <cell r="D129">
            <v>7511888</v>
          </cell>
          <cell r="E129">
            <v>3136629.7838904113</v>
          </cell>
        </row>
        <row r="130">
          <cell r="C130" t="str">
            <v>Rakesh Kumar Mehta</v>
          </cell>
          <cell r="D130">
            <v>5683864</v>
          </cell>
          <cell r="E130">
            <v>2621103.4899726026</v>
          </cell>
        </row>
        <row r="131">
          <cell r="C131" t="str">
            <v>Rakesh Sarin &amp; Bala Sarin</v>
          </cell>
          <cell r="D131">
            <v>6914955</v>
          </cell>
          <cell r="E131">
            <v>2939899.9916712325</v>
          </cell>
        </row>
        <row r="132">
          <cell r="C132" t="str">
            <v>Ratna Sharma &amp; Sudhir Kumar Sharma</v>
          </cell>
          <cell r="D132">
            <v>5625514</v>
          </cell>
          <cell r="E132">
            <v>2457904.5448767124</v>
          </cell>
        </row>
        <row r="133">
          <cell r="C133" t="str">
            <v>Ravi Kothari &amp; Sohan Lal Kothari</v>
          </cell>
          <cell r="D133">
            <v>6173715</v>
          </cell>
          <cell r="E133">
            <v>2754464.8236712329</v>
          </cell>
        </row>
        <row r="134">
          <cell r="C134" t="str">
            <v>Rekha yadav</v>
          </cell>
          <cell r="D134">
            <v>5166447</v>
          </cell>
          <cell r="E134">
            <v>2327655.5416986304</v>
          </cell>
        </row>
        <row r="135">
          <cell r="C135" t="str">
            <v>Ritu Kapoor, Munish Mehta &amp; Saurabh Arora</v>
          </cell>
          <cell r="D135">
            <v>4442281</v>
          </cell>
          <cell r="E135">
            <v>1953464.4113972601</v>
          </cell>
        </row>
        <row r="136">
          <cell r="C136" t="str">
            <v>S Shankar</v>
          </cell>
          <cell r="D136">
            <v>5450287</v>
          </cell>
          <cell r="E136">
            <v>2134850.5654794523</v>
          </cell>
        </row>
        <row r="137">
          <cell r="C137" t="str">
            <v>Sachin Chhabra</v>
          </cell>
          <cell r="D137">
            <v>6039929</v>
          </cell>
          <cell r="E137">
            <v>2550664.6073424658</v>
          </cell>
        </row>
        <row r="138">
          <cell r="C138" t="str">
            <v>Sajjan Kumar Agarwal</v>
          </cell>
          <cell r="D138">
            <v>4998109</v>
          </cell>
          <cell r="E138">
            <v>2237340.4903013702</v>
          </cell>
        </row>
        <row r="139">
          <cell r="C139" t="str">
            <v>Sandeep Agarwal</v>
          </cell>
          <cell r="D139">
            <v>6298217</v>
          </cell>
          <cell r="E139">
            <v>2817340.090958904</v>
          </cell>
        </row>
        <row r="140">
          <cell r="C140" t="str">
            <v>Mr. Sandeep Garg/Ranjana</v>
          </cell>
          <cell r="D140">
            <v>5683385</v>
          </cell>
          <cell r="E140">
            <v>2592786.8804383557</v>
          </cell>
        </row>
        <row r="141">
          <cell r="C141" t="str">
            <v>Sandeep Maurya</v>
          </cell>
          <cell r="D141">
            <v>13375494</v>
          </cell>
          <cell r="E141">
            <v>4723534.1996712331</v>
          </cell>
        </row>
        <row r="142">
          <cell r="C142" t="str">
            <v>Sangeeta Arora</v>
          </cell>
          <cell r="D142">
            <v>7132604</v>
          </cell>
          <cell r="E142">
            <v>2966616.1516712331</v>
          </cell>
        </row>
        <row r="143">
          <cell r="C143" t="str">
            <v>Sangeeta Arya</v>
          </cell>
          <cell r="D143">
            <v>5686550</v>
          </cell>
          <cell r="E143">
            <v>2634290.438136986</v>
          </cell>
        </row>
        <row r="144">
          <cell r="C144" t="str">
            <v>Sangeta Arora /Yoghdyan Arora</v>
          </cell>
          <cell r="D144">
            <v>7132604</v>
          </cell>
          <cell r="E144">
            <v>2930899.3472876712</v>
          </cell>
        </row>
        <row r="145">
          <cell r="C145" t="str">
            <v>Sanjay Jain</v>
          </cell>
          <cell r="D145">
            <v>7888664</v>
          </cell>
          <cell r="E145">
            <v>3306540.1152876713</v>
          </cell>
        </row>
        <row r="146">
          <cell r="C146" t="str">
            <v>Sanjay Kumar</v>
          </cell>
          <cell r="D146">
            <v>8405683</v>
          </cell>
          <cell r="E146">
            <v>3604903.3240547939</v>
          </cell>
        </row>
        <row r="147">
          <cell r="C147" t="str">
            <v>Sanjay Kumar Sehgal</v>
          </cell>
          <cell r="D147">
            <v>9077121</v>
          </cell>
          <cell r="E147">
            <v>1100697.010191781</v>
          </cell>
        </row>
        <row r="148">
          <cell r="C148" t="str">
            <v>Sanjiv Ramesh Kochhar</v>
          </cell>
          <cell r="D148">
            <v>6810814</v>
          </cell>
          <cell r="E148">
            <v>3129366.8740821923</v>
          </cell>
        </row>
        <row r="149">
          <cell r="C149" t="str">
            <v>Santokh Singh Ent.P.Ltd.</v>
          </cell>
          <cell r="D149">
            <v>5328478</v>
          </cell>
          <cell r="E149">
            <v>2455964.4032876715</v>
          </cell>
        </row>
        <row r="150">
          <cell r="C150" t="str">
            <v>Sawallka Autotech Private Limited</v>
          </cell>
          <cell r="D150">
            <v>600000</v>
          </cell>
          <cell r="E150">
            <v>300493.15068493149</v>
          </cell>
        </row>
        <row r="151">
          <cell r="C151" t="str">
            <v>Seema Chaturvedi</v>
          </cell>
          <cell r="D151">
            <v>7951692</v>
          </cell>
          <cell r="E151">
            <v>3315671.7981369868</v>
          </cell>
        </row>
        <row r="152">
          <cell r="C152" t="str">
            <v>Shahab Rizvi /Raj Deepak Varshney</v>
          </cell>
          <cell r="D152">
            <v>7879242</v>
          </cell>
          <cell r="E152">
            <v>3309756.7421369869</v>
          </cell>
        </row>
        <row r="153">
          <cell r="C153" t="str">
            <v>Shailesh Kant Sharma</v>
          </cell>
          <cell r="D153">
            <v>4623147</v>
          </cell>
          <cell r="E153">
            <v>1985729.890410959</v>
          </cell>
        </row>
        <row r="154">
          <cell r="C154" t="str">
            <v>Shailja Sharma</v>
          </cell>
          <cell r="D154">
            <v>4928542</v>
          </cell>
          <cell r="E154">
            <v>2235338.0951232878</v>
          </cell>
        </row>
        <row r="155">
          <cell r="C155" t="str">
            <v>Shalini Bawa Anand &amp; Vishal Anand</v>
          </cell>
          <cell r="D155">
            <v>7903741</v>
          </cell>
          <cell r="E155">
            <v>3265133.5048767123</v>
          </cell>
        </row>
        <row r="156">
          <cell r="C156" t="str">
            <v>Shishir Agarwal &amp; Ankita Agarwal</v>
          </cell>
          <cell r="D156">
            <v>6922234</v>
          </cell>
          <cell r="E156">
            <v>2858334.2318904111</v>
          </cell>
        </row>
        <row r="157">
          <cell r="C157" t="str">
            <v>Shruti Sud</v>
          </cell>
          <cell r="D157">
            <v>5543321</v>
          </cell>
          <cell r="E157">
            <v>2480442.9488219176</v>
          </cell>
        </row>
        <row r="158">
          <cell r="C158" t="str">
            <v>Ms. Shikha Trehan</v>
          </cell>
          <cell r="D158">
            <v>5699958</v>
          </cell>
          <cell r="E158">
            <v>2477757.9660273972</v>
          </cell>
        </row>
        <row r="159">
          <cell r="C159" t="str">
            <v xml:space="preserve">Sumeet Dhiman &amp; Vineeta Dhiman </v>
          </cell>
          <cell r="D159">
            <v>5101716</v>
          </cell>
          <cell r="E159">
            <v>2227943.3240547944</v>
          </cell>
        </row>
        <row r="160">
          <cell r="C160" t="str">
            <v>Sumit Ginglani</v>
          </cell>
          <cell r="D160">
            <v>5484377</v>
          </cell>
          <cell r="E160">
            <v>2387728.354191781</v>
          </cell>
        </row>
        <row r="161">
          <cell r="C161" t="str">
            <v>Sunil Arora</v>
          </cell>
          <cell r="D161">
            <v>4502906</v>
          </cell>
          <cell r="E161">
            <v>2024682.4504109591</v>
          </cell>
        </row>
        <row r="162">
          <cell r="C162" t="str">
            <v>Sunil Kumar Bhat &amp; Anita Bhat</v>
          </cell>
          <cell r="D162">
            <v>6451381</v>
          </cell>
          <cell r="E162">
            <v>2825973.7803835622</v>
          </cell>
        </row>
        <row r="163">
          <cell r="C163" t="str">
            <v>Sunil Trehun &amp; V.K Trehun</v>
          </cell>
          <cell r="D163">
            <v>4998112</v>
          </cell>
          <cell r="E163">
            <v>2265740.3533150684</v>
          </cell>
        </row>
        <row r="164">
          <cell r="C164" t="str">
            <v>Sunita Bakshi</v>
          </cell>
          <cell r="D164">
            <v>5325128</v>
          </cell>
          <cell r="E164">
            <v>2423597.0954520549</v>
          </cell>
        </row>
        <row r="165">
          <cell r="C165" t="str">
            <v>Surinder Kaur &amp; Devinder Pal Singh</v>
          </cell>
          <cell r="D165">
            <v>5645584</v>
          </cell>
          <cell r="E165">
            <v>2554189.8588493159</v>
          </cell>
        </row>
        <row r="166">
          <cell r="C166" t="str">
            <v>Babulal Swami &amp; Kanta Devi</v>
          </cell>
          <cell r="D166">
            <v>5947059</v>
          </cell>
          <cell r="E166">
            <v>2529524.0414246572</v>
          </cell>
        </row>
        <row r="167">
          <cell r="C167" t="str">
            <v>Tilak Raj Ganga Ram /pushpa Tilakraj</v>
          </cell>
          <cell r="D167">
            <v>6821466</v>
          </cell>
          <cell r="E167">
            <v>3143646.9865205479</v>
          </cell>
        </row>
        <row r="168">
          <cell r="C168" t="str">
            <v>Veni Rastogi Gupta</v>
          </cell>
          <cell r="D168">
            <v>7666233</v>
          </cell>
          <cell r="E168">
            <v>3282253.5169315068</v>
          </cell>
        </row>
        <row r="169">
          <cell r="C169" t="str">
            <v>Vineet Gehani &amp; Vani Gehani</v>
          </cell>
          <cell r="D169">
            <v>4601237</v>
          </cell>
          <cell r="E169">
            <v>1813031.9997808221</v>
          </cell>
        </row>
        <row r="170">
          <cell r="C170" t="str">
            <v>Vipul Sharma</v>
          </cell>
          <cell r="D170">
            <v>6508195</v>
          </cell>
          <cell r="E170">
            <v>2982628.232109589</v>
          </cell>
        </row>
        <row r="171">
          <cell r="C171" t="str">
            <v>Zara Buildcon Pvt Ltd</v>
          </cell>
          <cell r="D171">
            <v>3501807</v>
          </cell>
          <cell r="E171">
            <v>1396457.0018630137</v>
          </cell>
        </row>
        <row r="172">
          <cell r="C172" t="str">
            <v xml:space="preserve">Mrs. Sheekha Gupta </v>
          </cell>
          <cell r="D172">
            <v>5683451</v>
          </cell>
          <cell r="E172">
            <v>1875452.9711780823</v>
          </cell>
        </row>
        <row r="173">
          <cell r="C173" t="str">
            <v xml:space="preserve">Mrs. Usha Devi </v>
          </cell>
          <cell r="D173">
            <v>6581946</v>
          </cell>
          <cell r="E173">
            <v>2870036.764712329</v>
          </cell>
        </row>
        <row r="174">
          <cell r="C174" t="str">
            <v xml:space="preserve">Mr. Kavin Gupta </v>
          </cell>
          <cell r="D174">
            <v>4963039</v>
          </cell>
          <cell r="E174">
            <v>2129928.5369863012</v>
          </cell>
        </row>
        <row r="175">
          <cell r="C175" t="str">
            <v>Ravinder Aggarwal</v>
          </cell>
          <cell r="D175">
            <v>5861466</v>
          </cell>
          <cell r="E175">
            <v>2476731.9951780825</v>
          </cell>
        </row>
        <row r="176">
          <cell r="C176" t="str">
            <v>Vinita &amp; Dinesh Bhutani</v>
          </cell>
          <cell r="D176">
            <v>4941996</v>
          </cell>
          <cell r="E176">
            <v>2167663.4790136991</v>
          </cell>
        </row>
        <row r="177">
          <cell r="C177" t="str">
            <v>Vinod Kumar Bapna</v>
          </cell>
          <cell r="D177">
            <v>6938532</v>
          </cell>
          <cell r="E177">
            <v>2878792.0753972605</v>
          </cell>
        </row>
        <row r="178">
          <cell r="C178" t="str">
            <v>Rajan Rakheja</v>
          </cell>
          <cell r="D178">
            <v>6138910</v>
          </cell>
          <cell r="E178">
            <v>2687348.7697534249</v>
          </cell>
        </row>
        <row r="179">
          <cell r="C179" t="str">
            <v>Mina Chauhan &amp; Push Lata Chauhan</v>
          </cell>
          <cell r="D179">
            <v>5683382</v>
          </cell>
          <cell r="E179">
            <v>2633902.7662465754</v>
          </cell>
        </row>
        <row r="180">
          <cell r="C180" t="str">
            <v>Sheekha Gupta &amp; Sunita Gupta</v>
          </cell>
          <cell r="D180">
            <v>5683451</v>
          </cell>
          <cell r="E180">
            <v>2509819.5484931511</v>
          </cell>
        </row>
        <row r="181">
          <cell r="C181" t="str">
            <v>Karuna Sharma &amp; Vinod Sharma</v>
          </cell>
          <cell r="D181">
            <v>7088917</v>
          </cell>
          <cell r="E181">
            <v>3009909.3439999996</v>
          </cell>
        </row>
        <row r="182">
          <cell r="C182" t="str">
            <v>Surender Kumar &amp; Savita Devi</v>
          </cell>
          <cell r="D182">
            <v>5708284</v>
          </cell>
          <cell r="E182">
            <v>2476427.7512328774</v>
          </cell>
        </row>
        <row r="183">
          <cell r="C183" t="str">
            <v>Bijender Malik</v>
          </cell>
          <cell r="D183">
            <v>4636250</v>
          </cell>
          <cell r="E183">
            <v>2089547.0435068493</v>
          </cell>
        </row>
        <row r="184">
          <cell r="C184" t="str">
            <v>Naveen Kumar &amp; Varun Dhar</v>
          </cell>
          <cell r="D184">
            <v>5022504</v>
          </cell>
          <cell r="E184">
            <v>2318421.9230684927</v>
          </cell>
        </row>
        <row r="185">
          <cell r="C185" t="str">
            <v>Kuljit Singh Sethi</v>
          </cell>
          <cell r="D185">
            <v>12401500</v>
          </cell>
          <cell r="E185">
            <v>6203890.1917808214</v>
          </cell>
        </row>
        <row r="186">
          <cell r="C186" t="str">
            <v>Shubhash Gumber</v>
          </cell>
          <cell r="D186">
            <v>5683416</v>
          </cell>
        </row>
        <row r="187">
          <cell r="C187" t="str">
            <v>Sawalka Autotech Private Limited</v>
          </cell>
          <cell r="D187">
            <v>600000</v>
          </cell>
        </row>
        <row r="188">
          <cell r="C188" t="str">
            <v xml:space="preserve">Godawri Capital Private Limited </v>
          </cell>
          <cell r="D188">
            <v>500000</v>
          </cell>
        </row>
        <row r="189">
          <cell r="C189" t="str">
            <v>Kushagra Katariya - Purchased flat from Golden Realtors</v>
          </cell>
          <cell r="D189">
            <v>6647326</v>
          </cell>
        </row>
        <row r="190">
          <cell r="C190" t="str">
            <v>Rajbir Yadav / Utkarsh Yadav</v>
          </cell>
          <cell r="D190">
            <v>5815879</v>
          </cell>
        </row>
        <row r="191">
          <cell r="C191" t="str">
            <v>Som Prakash Bishnoi</v>
          </cell>
          <cell r="D191">
            <v>6536017</v>
          </cell>
        </row>
        <row r="192">
          <cell r="C192" t="str">
            <v>Grand Total</v>
          </cell>
          <cell r="D192">
            <v>1114819737.1599998</v>
          </cell>
        </row>
        <row r="193">
          <cell r="D193">
            <v>111.48197371599998</v>
          </cell>
        </row>
        <row r="194">
          <cell r="D194">
            <v>0</v>
          </cell>
        </row>
      </sheetData>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
          <cell r="C3" t="str">
            <v>D-1603</v>
          </cell>
          <cell r="D3">
            <v>4259592</v>
          </cell>
          <cell r="E3">
            <v>4395084</v>
          </cell>
        </row>
        <row r="4">
          <cell r="C4" t="str">
            <v>E-703</v>
          </cell>
          <cell r="D4">
            <v>7443390</v>
          </cell>
          <cell r="E4">
            <v>7698055</v>
          </cell>
        </row>
        <row r="5">
          <cell r="C5" t="str">
            <v>D-1003</v>
          </cell>
          <cell r="D5">
            <v>5613745</v>
          </cell>
          <cell r="E5">
            <v>5771232</v>
          </cell>
        </row>
        <row r="6">
          <cell r="C6" t="str">
            <v>D-402</v>
          </cell>
          <cell r="D6">
            <v>6073622</v>
          </cell>
          <cell r="E6">
            <v>6258159</v>
          </cell>
        </row>
        <row r="7">
          <cell r="C7" t="str">
            <v>A-503</v>
          </cell>
          <cell r="D7">
            <v>6165833</v>
          </cell>
          <cell r="E7">
            <v>15669380.380000001</v>
          </cell>
        </row>
        <row r="8">
          <cell r="C8" t="str">
            <v>C-103</v>
          </cell>
          <cell r="D8">
            <v>5961790</v>
          </cell>
          <cell r="E8">
            <v>16965444</v>
          </cell>
        </row>
        <row r="9">
          <cell r="C9" t="str">
            <v>D-501</v>
          </cell>
          <cell r="D9">
            <v>3673271</v>
          </cell>
          <cell r="E9" t="str">
            <v>No claim received yet</v>
          </cell>
        </row>
        <row r="10">
          <cell r="C10" t="str">
            <v>E-1503</v>
          </cell>
          <cell r="D10">
            <v>9282669</v>
          </cell>
          <cell r="E10">
            <v>21575614</v>
          </cell>
        </row>
        <row r="11">
          <cell r="C11" t="str">
            <v>C-1001</v>
          </cell>
          <cell r="D11">
            <v>5593325</v>
          </cell>
          <cell r="E11" t="str">
            <v>No claim received yet</v>
          </cell>
        </row>
        <row r="12">
          <cell r="C12" t="str">
            <v>C-1101</v>
          </cell>
          <cell r="D12">
            <v>5530324</v>
          </cell>
          <cell r="E12" t="str">
            <v>No claim received yet</v>
          </cell>
        </row>
        <row r="13">
          <cell r="C13" t="str">
            <v>F-1702</v>
          </cell>
          <cell r="D13">
            <v>6393445</v>
          </cell>
          <cell r="E13">
            <v>6822150</v>
          </cell>
        </row>
        <row r="14">
          <cell r="C14" t="str">
            <v>C-1403</v>
          </cell>
          <cell r="D14">
            <v>5545261</v>
          </cell>
          <cell r="E14" t="str">
            <v>No claim received yet</v>
          </cell>
        </row>
        <row r="15">
          <cell r="C15" t="str">
            <v>B-1402</v>
          </cell>
          <cell r="D15">
            <v>5863359</v>
          </cell>
          <cell r="E15">
            <v>6047061</v>
          </cell>
        </row>
        <row r="16">
          <cell r="C16" t="str">
            <v>C-202</v>
          </cell>
          <cell r="D16">
            <v>4780430</v>
          </cell>
          <cell r="E16">
            <v>4913942</v>
          </cell>
        </row>
        <row r="17">
          <cell r="C17" t="str">
            <v>D-1202</v>
          </cell>
          <cell r="D17">
            <v>5613744</v>
          </cell>
          <cell r="E17">
            <v>5759777</v>
          </cell>
        </row>
        <row r="18">
          <cell r="C18" t="str">
            <v>F-1802</v>
          </cell>
          <cell r="D18">
            <v>7459208</v>
          </cell>
          <cell r="E18">
            <v>8134306</v>
          </cell>
        </row>
        <row r="19">
          <cell r="C19" t="str">
            <v>A-301</v>
          </cell>
          <cell r="D19">
            <v>5509366</v>
          </cell>
          <cell r="E19">
            <v>6185901</v>
          </cell>
        </row>
        <row r="20">
          <cell r="C20" t="str">
            <v>B-1703</v>
          </cell>
          <cell r="D20">
            <v>6155590</v>
          </cell>
          <cell r="E20">
            <v>6345798</v>
          </cell>
        </row>
        <row r="21">
          <cell r="C21" t="str">
            <v>C-101</v>
          </cell>
          <cell r="D21">
            <v>5656946</v>
          </cell>
          <cell r="E21">
            <v>5817366</v>
          </cell>
        </row>
        <row r="22">
          <cell r="C22" t="str">
            <v>B-702</v>
          </cell>
          <cell r="D22">
            <v>5878058</v>
          </cell>
          <cell r="E22">
            <v>6055283</v>
          </cell>
        </row>
        <row r="23">
          <cell r="C23" t="str">
            <v>B-1101</v>
          </cell>
          <cell r="D23">
            <v>5526722</v>
          </cell>
          <cell r="E23">
            <v>5678324</v>
          </cell>
        </row>
        <row r="24">
          <cell r="C24" t="str">
            <v>B-801</v>
          </cell>
          <cell r="D24">
            <v>5438736</v>
          </cell>
          <cell r="E24">
            <v>7913051</v>
          </cell>
        </row>
        <row r="25">
          <cell r="C25" t="str">
            <v>B-002</v>
          </cell>
          <cell r="D25">
            <v>5793929</v>
          </cell>
          <cell r="E25">
            <v>5990472</v>
          </cell>
        </row>
        <row r="26">
          <cell r="C26" t="str">
            <v>A-1702</v>
          </cell>
          <cell r="D26">
            <v>5432147</v>
          </cell>
          <cell r="E26" t="str">
            <v>No claim received yet</v>
          </cell>
        </row>
        <row r="27">
          <cell r="C27" t="str">
            <v>C-1603</v>
          </cell>
          <cell r="D27">
            <v>5704099</v>
          </cell>
          <cell r="E27">
            <v>5878153</v>
          </cell>
        </row>
        <row r="28">
          <cell r="C28" t="str">
            <v>C-1401</v>
          </cell>
          <cell r="D28">
            <v>5531921</v>
          </cell>
          <cell r="E28">
            <v>5766891.71</v>
          </cell>
        </row>
        <row r="29">
          <cell r="C29" t="str">
            <v>D-903</v>
          </cell>
          <cell r="D29">
            <v>6143223</v>
          </cell>
          <cell r="E29">
            <v>6332655</v>
          </cell>
        </row>
        <row r="30">
          <cell r="C30" t="str">
            <v>D-1402</v>
          </cell>
          <cell r="D30">
            <v>8912063</v>
          </cell>
          <cell r="E30">
            <v>8032189</v>
          </cell>
        </row>
        <row r="31">
          <cell r="C31" t="str">
            <v>E-1501</v>
          </cell>
          <cell r="D31">
            <v>6076335</v>
          </cell>
          <cell r="E31">
            <v>6232800</v>
          </cell>
        </row>
        <row r="32">
          <cell r="C32" t="str">
            <v>E-1601</v>
          </cell>
          <cell r="D32">
            <v>6076334</v>
          </cell>
          <cell r="E32">
            <v>6232800</v>
          </cell>
        </row>
        <row r="33">
          <cell r="C33" t="str">
            <v>A-403</v>
          </cell>
          <cell r="D33">
            <v>4584143</v>
          </cell>
          <cell r="E33" t="str">
            <v>No claim received yet</v>
          </cell>
        </row>
        <row r="34">
          <cell r="C34" t="str">
            <v>A-003</v>
          </cell>
          <cell r="D34">
            <v>5683068</v>
          </cell>
          <cell r="E34">
            <v>5851345</v>
          </cell>
        </row>
        <row r="35">
          <cell r="C35" t="str">
            <v>D-603</v>
          </cell>
          <cell r="D35">
            <v>3496672</v>
          </cell>
          <cell r="E35">
            <v>3595848</v>
          </cell>
        </row>
        <row r="36">
          <cell r="C36" t="str">
            <v>C-1002</v>
          </cell>
          <cell r="D36">
            <v>5015055</v>
          </cell>
          <cell r="E36" t="str">
            <v>51,65,139.00</v>
          </cell>
        </row>
        <row r="37">
          <cell r="C37" t="str">
            <v>E-302</v>
          </cell>
          <cell r="D37">
            <v>6385911</v>
          </cell>
          <cell r="E37">
            <v>6393548</v>
          </cell>
        </row>
        <row r="38">
          <cell r="C38" t="str">
            <v>C-1203</v>
          </cell>
          <cell r="D38">
            <v>4854145</v>
          </cell>
          <cell r="E38">
            <v>4992228</v>
          </cell>
        </row>
        <row r="39">
          <cell r="C39" t="str">
            <v>C-1202</v>
          </cell>
          <cell r="D39">
            <v>5871009</v>
          </cell>
          <cell r="E39" t="str">
            <v>No claim received yet</v>
          </cell>
        </row>
        <row r="40">
          <cell r="C40" t="str">
            <v>B-301</v>
          </cell>
          <cell r="D40">
            <v>4594238</v>
          </cell>
          <cell r="E40" t="str">
            <v>No claim received yet</v>
          </cell>
        </row>
        <row r="41">
          <cell r="C41" t="str">
            <v>B-202</v>
          </cell>
          <cell r="D41">
            <v>5764994</v>
          </cell>
          <cell r="E41">
            <v>5947060</v>
          </cell>
        </row>
        <row r="42">
          <cell r="C42" t="str">
            <v>A-1202</v>
          </cell>
          <cell r="D42">
            <v>6704831</v>
          </cell>
          <cell r="E42">
            <v>6914956</v>
          </cell>
        </row>
        <row r="43">
          <cell r="C43" t="str">
            <v>E-902</v>
          </cell>
          <cell r="D43">
            <v>6858764</v>
          </cell>
          <cell r="E43">
            <v>6858764</v>
          </cell>
        </row>
        <row r="44">
          <cell r="C44" t="str">
            <v>D-702</v>
          </cell>
          <cell r="D44">
            <v>6730444</v>
          </cell>
          <cell r="E44">
            <v>6947713</v>
          </cell>
        </row>
        <row r="45">
          <cell r="C45" t="str">
            <v>F-1502</v>
          </cell>
          <cell r="D45">
            <v>6737344</v>
          </cell>
          <cell r="E45" t="str">
            <v>No claim received yet</v>
          </cell>
        </row>
        <row r="46">
          <cell r="C46" t="str">
            <v>B-303</v>
          </cell>
          <cell r="D46">
            <v>5081438</v>
          </cell>
          <cell r="E46" t="str">
            <v>No claim received yet</v>
          </cell>
        </row>
        <row r="47">
          <cell r="C47" t="str">
            <v>F-1201</v>
          </cell>
          <cell r="D47">
            <v>5845476</v>
          </cell>
          <cell r="E47">
            <v>5999242</v>
          </cell>
        </row>
        <row r="48">
          <cell r="C48" t="str">
            <v>C-703</v>
          </cell>
          <cell r="D48">
            <v>5177775</v>
          </cell>
          <cell r="E48">
            <v>5349280</v>
          </cell>
        </row>
        <row r="49">
          <cell r="C49" t="str">
            <v>B-1502</v>
          </cell>
          <cell r="D49">
            <v>5862952</v>
          </cell>
          <cell r="E49">
            <v>6047060</v>
          </cell>
        </row>
        <row r="50">
          <cell r="C50" t="str">
            <v>A-102</v>
          </cell>
          <cell r="D50">
            <v>6824851</v>
          </cell>
          <cell r="E50">
            <v>7040644</v>
          </cell>
        </row>
        <row r="51">
          <cell r="C51" t="str">
            <v>G-602</v>
          </cell>
          <cell r="D51">
            <v>6029761</v>
          </cell>
          <cell r="E51">
            <v>6194412</v>
          </cell>
        </row>
        <row r="52">
          <cell r="C52" t="str">
            <v>E-1701</v>
          </cell>
          <cell r="D52">
            <v>7915475</v>
          </cell>
          <cell r="E52">
            <v>8966922.0199999996</v>
          </cell>
        </row>
        <row r="53">
          <cell r="C53" t="str">
            <v>G-1401</v>
          </cell>
          <cell r="D53">
            <v>5059373</v>
          </cell>
        </row>
        <row r="54">
          <cell r="C54" t="str">
            <v>E-1402</v>
          </cell>
          <cell r="D54">
            <v>6343090</v>
          </cell>
          <cell r="E54">
            <v>6523458</v>
          </cell>
        </row>
        <row r="55">
          <cell r="C55" t="str">
            <v>C-1201</v>
          </cell>
          <cell r="D55">
            <v>4735087</v>
          </cell>
          <cell r="E55">
            <v>5658568</v>
          </cell>
        </row>
        <row r="56">
          <cell r="C56" t="str">
            <v>B-1401</v>
          </cell>
          <cell r="D56">
            <v>5339787</v>
          </cell>
          <cell r="E56">
            <v>5485310</v>
          </cell>
        </row>
        <row r="57">
          <cell r="C57" t="str">
            <v>C-903</v>
          </cell>
          <cell r="D57">
            <v>4860698</v>
          </cell>
          <cell r="E57">
            <v>4999580</v>
          </cell>
        </row>
        <row r="58">
          <cell r="C58" t="str">
            <v>B-602</v>
          </cell>
          <cell r="D58">
            <v>4628754</v>
          </cell>
          <cell r="E58">
            <v>4771783</v>
          </cell>
        </row>
        <row r="59">
          <cell r="C59" t="str">
            <v>A-401</v>
          </cell>
          <cell r="D59">
            <v>6130889</v>
          </cell>
          <cell r="E59">
            <v>6300000</v>
          </cell>
        </row>
        <row r="60">
          <cell r="C60" t="str">
            <v>E-201</v>
          </cell>
          <cell r="D60">
            <v>7613550</v>
          </cell>
          <cell r="E60">
            <v>7833403</v>
          </cell>
        </row>
        <row r="61">
          <cell r="C61" t="str">
            <v>A-1002</v>
          </cell>
          <cell r="D61">
            <v>6704832</v>
          </cell>
          <cell r="E61">
            <v>6922356</v>
          </cell>
        </row>
        <row r="62">
          <cell r="C62" t="str">
            <v>D-1502</v>
          </cell>
          <cell r="D62">
            <v>0</v>
          </cell>
          <cell r="E62" t="str">
            <v>No claim received yet</v>
          </cell>
        </row>
        <row r="63">
          <cell r="C63" t="str">
            <v>A-203</v>
          </cell>
          <cell r="D63">
            <v>6757781</v>
          </cell>
          <cell r="E63">
            <v>6970524</v>
          </cell>
        </row>
        <row r="64">
          <cell r="C64" t="str">
            <v>B-103</v>
          </cell>
          <cell r="D64">
            <v>4144577</v>
          </cell>
          <cell r="E64">
            <v>3506430</v>
          </cell>
        </row>
        <row r="65">
          <cell r="C65" t="str">
            <v>B-003</v>
          </cell>
          <cell r="D65">
            <v>5018699</v>
          </cell>
          <cell r="E65" t="str">
            <v>No claim received yet</v>
          </cell>
        </row>
        <row r="66">
          <cell r="C66" t="str">
            <v>F-603</v>
          </cell>
          <cell r="D66">
            <v>4338116</v>
          </cell>
          <cell r="E66">
            <v>4457255.76</v>
          </cell>
        </row>
        <row r="67">
          <cell r="C67" t="str">
            <v>A-702</v>
          </cell>
          <cell r="D67">
            <v>3305808</v>
          </cell>
          <cell r="E67">
            <v>48000097</v>
          </cell>
        </row>
        <row r="68">
          <cell r="C68" t="str">
            <v>G-1102</v>
          </cell>
          <cell r="D68">
            <v>5094359</v>
          </cell>
        </row>
        <row r="69">
          <cell r="C69" t="str">
            <v>G-1201</v>
          </cell>
          <cell r="D69">
            <v>5331154</v>
          </cell>
        </row>
        <row r="70">
          <cell r="C70" t="str">
            <v>B-902</v>
          </cell>
          <cell r="D70">
            <v>2877025</v>
          </cell>
        </row>
        <row r="71">
          <cell r="C71" t="str">
            <v>G-1103</v>
          </cell>
          <cell r="D71">
            <v>5094371</v>
          </cell>
        </row>
        <row r="72">
          <cell r="C72" t="str">
            <v>A-1401</v>
          </cell>
          <cell r="D72">
            <v>6292870</v>
          </cell>
          <cell r="E72" t="str">
            <v>No claim received yet</v>
          </cell>
        </row>
        <row r="73">
          <cell r="C73" t="str">
            <v>B-802</v>
          </cell>
          <cell r="D73">
            <v>6493772</v>
          </cell>
          <cell r="E73">
            <v>6683178</v>
          </cell>
        </row>
        <row r="74">
          <cell r="C74" t="str">
            <v>C-503</v>
          </cell>
          <cell r="D74">
            <v>5862952</v>
          </cell>
          <cell r="E74">
            <v>6041913</v>
          </cell>
        </row>
        <row r="75">
          <cell r="C75" t="str">
            <v>F-201</v>
          </cell>
          <cell r="D75">
            <v>8769265</v>
          </cell>
          <cell r="E75" t="str">
            <v>No claim received yet</v>
          </cell>
        </row>
        <row r="76">
          <cell r="C76" t="str">
            <v>C-1503</v>
          </cell>
          <cell r="D76">
            <v>5862950</v>
          </cell>
          <cell r="E76">
            <v>6056546.5999999996</v>
          </cell>
        </row>
        <row r="77">
          <cell r="C77" t="str">
            <v>D-701</v>
          </cell>
          <cell r="D77">
            <v>8768204</v>
          </cell>
          <cell r="E77">
            <v>9045771</v>
          </cell>
        </row>
        <row r="78">
          <cell r="C78" t="str">
            <v>B-402</v>
          </cell>
          <cell r="D78">
            <v>4976315</v>
          </cell>
          <cell r="E78">
            <v>5115555</v>
          </cell>
        </row>
        <row r="79">
          <cell r="C79" t="str">
            <v>A-602</v>
          </cell>
          <cell r="D79">
            <v>5171070</v>
          </cell>
          <cell r="E79">
            <v>1332125</v>
          </cell>
        </row>
        <row r="80">
          <cell r="C80" t="str">
            <v>C-803</v>
          </cell>
          <cell r="D80">
            <v>4859849</v>
          </cell>
          <cell r="E80" t="str">
            <v>49,98,109.00</v>
          </cell>
        </row>
        <row r="81">
          <cell r="C81" t="str">
            <v>D-403</v>
          </cell>
          <cell r="D81">
            <v>6730438</v>
          </cell>
          <cell r="E81">
            <v>6955377</v>
          </cell>
        </row>
        <row r="82">
          <cell r="C82" t="str">
            <v>F-503</v>
          </cell>
          <cell r="D82">
            <v>6344027</v>
          </cell>
          <cell r="E82">
            <v>6523962</v>
          </cell>
        </row>
        <row r="83">
          <cell r="C83" t="str">
            <v>B-1102</v>
          </cell>
          <cell r="D83">
            <v>5758644</v>
          </cell>
          <cell r="E83">
            <v>6039531</v>
          </cell>
        </row>
        <row r="84">
          <cell r="C84" t="str">
            <v>A-1203</v>
          </cell>
          <cell r="D84">
            <v>6704830</v>
          </cell>
          <cell r="E84">
            <v>6914955</v>
          </cell>
        </row>
        <row r="85">
          <cell r="C85" t="str">
            <v>D-503</v>
          </cell>
          <cell r="D85">
            <v>3555718</v>
          </cell>
          <cell r="E85">
            <v>4457763</v>
          </cell>
        </row>
        <row r="86">
          <cell r="C86" t="str">
            <v>C-601</v>
          </cell>
          <cell r="D86">
            <v>5094335</v>
          </cell>
          <cell r="E86">
            <v>5233179</v>
          </cell>
        </row>
        <row r="87">
          <cell r="C87" t="str">
            <v>A-1102</v>
          </cell>
          <cell r="D87">
            <v>6696627</v>
          </cell>
          <cell r="E87" t="str">
            <v>No claim received yet</v>
          </cell>
        </row>
        <row r="88">
          <cell r="C88" t="str">
            <v>F-1602</v>
          </cell>
          <cell r="D88">
            <v>6879240</v>
          </cell>
          <cell r="E88" t="str">
            <v>No claim received yet</v>
          </cell>
        </row>
        <row r="89">
          <cell r="C89" t="str">
            <v>C-301</v>
          </cell>
          <cell r="D89">
            <v>4833166</v>
          </cell>
          <cell r="E89" t="str">
            <v>No claim received yet</v>
          </cell>
        </row>
        <row r="90">
          <cell r="C90" t="str">
            <v>B-601</v>
          </cell>
          <cell r="D90">
            <v>5532170</v>
          </cell>
          <cell r="E90">
            <v>5777903</v>
          </cell>
        </row>
        <row r="91">
          <cell r="C91" t="str">
            <v>E-1403</v>
          </cell>
          <cell r="D91">
            <v>6343090</v>
          </cell>
          <cell r="E91">
            <v>6538475</v>
          </cell>
        </row>
        <row r="92">
          <cell r="C92" t="str">
            <v>D-502</v>
          </cell>
          <cell r="D92">
            <v>3542675</v>
          </cell>
          <cell r="E92" t="str">
            <v>No claim received yet</v>
          </cell>
        </row>
        <row r="93">
          <cell r="C93" t="str">
            <v>B-903</v>
          </cell>
          <cell r="D93">
            <v>2918473</v>
          </cell>
          <cell r="E93" t="str">
            <v>No claim received yet</v>
          </cell>
        </row>
        <row r="94">
          <cell r="C94" t="str">
            <v>F-202</v>
          </cell>
          <cell r="D94">
            <v>6412542</v>
          </cell>
          <cell r="E94">
            <v>6598999</v>
          </cell>
        </row>
        <row r="95">
          <cell r="C95" t="str">
            <v>C-603</v>
          </cell>
          <cell r="D95">
            <v>5644050</v>
          </cell>
          <cell r="E95" t="str">
            <v>No claim received yet</v>
          </cell>
        </row>
        <row r="96">
          <cell r="C96" t="str">
            <v>B-1201</v>
          </cell>
          <cell r="D96">
            <v>5458885</v>
          </cell>
          <cell r="E96">
            <v>6129380</v>
          </cell>
        </row>
        <row r="97">
          <cell r="C97" t="str">
            <v>B-701</v>
          </cell>
          <cell r="D97">
            <v>5531919</v>
          </cell>
          <cell r="E97" t="str">
            <v>No claim received yet</v>
          </cell>
        </row>
        <row r="98">
          <cell r="C98" t="str">
            <v>A-603</v>
          </cell>
          <cell r="D98">
            <v>5044570</v>
          </cell>
          <cell r="E98">
            <v>4094533</v>
          </cell>
        </row>
        <row r="99">
          <cell r="C99" t="str">
            <v>D-303</v>
          </cell>
          <cell r="D99">
            <v>6850882</v>
          </cell>
          <cell r="E99">
            <v>7080632</v>
          </cell>
        </row>
        <row r="100">
          <cell r="C100" t="str">
            <v>A-501</v>
          </cell>
          <cell r="D100">
            <v>7824479</v>
          </cell>
          <cell r="E100">
            <v>8461825</v>
          </cell>
        </row>
        <row r="101">
          <cell r="C101" t="str">
            <v>D-1602</v>
          </cell>
          <cell r="D101">
            <v>5858772</v>
          </cell>
          <cell r="E101" t="str">
            <v>No claim received yet</v>
          </cell>
        </row>
        <row r="102">
          <cell r="C102" t="str">
            <v>G-501</v>
          </cell>
          <cell r="D102">
            <v>9665790</v>
          </cell>
          <cell r="E102">
            <v>9971901</v>
          </cell>
        </row>
        <row r="103">
          <cell r="C103" t="str">
            <v>D-1802</v>
          </cell>
          <cell r="D103">
            <v>6610034</v>
          </cell>
          <cell r="E103">
            <v>6831572</v>
          </cell>
        </row>
        <row r="104">
          <cell r="C104" t="str">
            <v>A-002</v>
          </cell>
          <cell r="D104">
            <v>5705729</v>
          </cell>
          <cell r="E104">
            <v>6370724</v>
          </cell>
        </row>
        <row r="105">
          <cell r="C105" t="str">
            <v>B-1702</v>
          </cell>
          <cell r="D105">
            <v>6856320</v>
          </cell>
          <cell r="E105">
            <v>7022600</v>
          </cell>
        </row>
        <row r="106">
          <cell r="C106" t="str">
            <v>D-102</v>
          </cell>
          <cell r="D106">
            <v>4250751</v>
          </cell>
          <cell r="E106">
            <v>4361755</v>
          </cell>
        </row>
        <row r="107">
          <cell r="C107" t="str">
            <v>B-1002</v>
          </cell>
          <cell r="D107">
            <v>4078808</v>
          </cell>
          <cell r="E107" t="str">
            <v>No claim received yet</v>
          </cell>
        </row>
        <row r="108">
          <cell r="C108" t="str">
            <v>B-1603</v>
          </cell>
          <cell r="D108">
            <v>5862949</v>
          </cell>
          <cell r="E108">
            <v>6047061</v>
          </cell>
        </row>
        <row r="109">
          <cell r="C109" t="str">
            <v>F-703</v>
          </cell>
          <cell r="D109">
            <v>6138982</v>
          </cell>
          <cell r="E109">
            <v>6313635</v>
          </cell>
        </row>
        <row r="110">
          <cell r="C110" t="str">
            <v>A-1502</v>
          </cell>
          <cell r="D110">
            <v>1301583</v>
          </cell>
          <cell r="E110">
            <v>1332125</v>
          </cell>
        </row>
        <row r="111">
          <cell r="C111" t="str">
            <v>C-801</v>
          </cell>
          <cell r="D111">
            <v>5531919</v>
          </cell>
          <cell r="E111" t="str">
            <v>No claim received yet</v>
          </cell>
        </row>
        <row r="112">
          <cell r="C112" t="str">
            <v>A-901</v>
          </cell>
          <cell r="D112">
            <v>6006776</v>
          </cell>
          <cell r="E112">
            <v>6172015</v>
          </cell>
        </row>
        <row r="113">
          <cell r="C113" t="str">
            <v>B-403</v>
          </cell>
          <cell r="D113">
            <v>5183451</v>
          </cell>
          <cell r="E113">
            <v>5345343</v>
          </cell>
        </row>
        <row r="114">
          <cell r="C114" t="str">
            <v>B-302</v>
          </cell>
          <cell r="D114">
            <v>5183451</v>
          </cell>
          <cell r="E114">
            <v>5345343</v>
          </cell>
        </row>
        <row r="115">
          <cell r="C115" t="str">
            <v>C-701</v>
          </cell>
          <cell r="D115">
            <v>6493352</v>
          </cell>
          <cell r="E115">
            <v>6722241</v>
          </cell>
        </row>
        <row r="116">
          <cell r="C116" t="str">
            <v>B-901</v>
          </cell>
          <cell r="D116">
            <v>3311401</v>
          </cell>
          <cell r="E116">
            <v>3405887</v>
          </cell>
        </row>
        <row r="117">
          <cell r="C117" t="str">
            <v>B-1403</v>
          </cell>
          <cell r="D117">
            <v>5862952</v>
          </cell>
          <cell r="E117">
            <v>6047062</v>
          </cell>
        </row>
        <row r="118">
          <cell r="C118" t="str">
            <v>E-1003</v>
          </cell>
          <cell r="D118">
            <v>7624213</v>
          </cell>
          <cell r="E118">
            <v>8272186</v>
          </cell>
        </row>
        <row r="119">
          <cell r="C119" t="str">
            <v>F-802</v>
          </cell>
          <cell r="D119">
            <v>6620889</v>
          </cell>
          <cell r="E119">
            <v>6809280</v>
          </cell>
        </row>
        <row r="120">
          <cell r="C120" t="str">
            <v>B-102</v>
          </cell>
          <cell r="D120">
            <v>4965752</v>
          </cell>
          <cell r="E120">
            <v>5366378</v>
          </cell>
        </row>
        <row r="121">
          <cell r="C121" t="str">
            <v>C-901</v>
          </cell>
          <cell r="D121">
            <v>4890849</v>
          </cell>
          <cell r="E121" t="str">
            <v>No claim received yet</v>
          </cell>
        </row>
        <row r="122">
          <cell r="C122" t="str">
            <v>A-103</v>
          </cell>
          <cell r="D122">
            <v>5524652</v>
          </cell>
          <cell r="E122">
            <v>5704761</v>
          </cell>
        </row>
        <row r="123">
          <cell r="C123" t="str">
            <v>F-1403</v>
          </cell>
          <cell r="D123">
            <v>6343091</v>
          </cell>
          <cell r="E123">
            <v>6538475</v>
          </cell>
        </row>
        <row r="124">
          <cell r="C124" t="str">
            <v>E-1702</v>
          </cell>
          <cell r="D124">
            <v>8491229</v>
          </cell>
          <cell r="E124">
            <v>10517618</v>
          </cell>
        </row>
        <row r="125">
          <cell r="C125" t="str">
            <v>F-1402</v>
          </cell>
          <cell r="D125">
            <v>5039808</v>
          </cell>
          <cell r="E125">
            <v>46776402</v>
          </cell>
        </row>
        <row r="126">
          <cell r="C126" t="str">
            <v>F-102</v>
          </cell>
          <cell r="D126">
            <v>4096064</v>
          </cell>
          <cell r="E126">
            <v>4202000</v>
          </cell>
        </row>
        <row r="127">
          <cell r="C127" t="str">
            <v>C-501</v>
          </cell>
          <cell r="D127">
            <v>5432191</v>
          </cell>
          <cell r="E127">
            <v>5580700</v>
          </cell>
        </row>
        <row r="128">
          <cell r="C128" t="str">
            <v>A-101</v>
          </cell>
          <cell r="D128">
            <v>7555099</v>
          </cell>
          <cell r="E128">
            <v>7440399.9900000002</v>
          </cell>
        </row>
        <row r="129">
          <cell r="C129" t="str">
            <v>A-902</v>
          </cell>
          <cell r="D129">
            <v>6717964</v>
          </cell>
          <cell r="E129" t="str">
            <v>No claim received yet</v>
          </cell>
        </row>
        <row r="130">
          <cell r="C130" t="str">
            <v>C-1703</v>
          </cell>
          <cell r="D130">
            <v>5010671</v>
          </cell>
          <cell r="E130">
            <v>5144000</v>
          </cell>
        </row>
        <row r="131">
          <cell r="C131" t="str">
            <v>D-602</v>
          </cell>
          <cell r="D131">
            <v>8312542</v>
          </cell>
          <cell r="E131">
            <v>8569399</v>
          </cell>
        </row>
        <row r="132">
          <cell r="C132" t="str">
            <v>F-1202</v>
          </cell>
          <cell r="D132">
            <v>4667400</v>
          </cell>
          <cell r="E132" t="str">
            <v>No claim received yet</v>
          </cell>
        </row>
        <row r="133">
          <cell r="C133" t="str">
            <v>A-1103</v>
          </cell>
          <cell r="D133">
            <v>5524650</v>
          </cell>
          <cell r="E133">
            <v>5705023</v>
          </cell>
        </row>
        <row r="134">
          <cell r="C134" t="str">
            <v>D-703</v>
          </cell>
          <cell r="D134">
            <v>7506143</v>
          </cell>
          <cell r="E134" t="str">
            <v>No claim received yet</v>
          </cell>
        </row>
        <row r="135">
          <cell r="C135" t="str">
            <v>D-1403</v>
          </cell>
          <cell r="D135">
            <v>5652656</v>
          </cell>
          <cell r="E135">
            <v>5824079</v>
          </cell>
        </row>
        <row r="136">
          <cell r="C136" t="str">
            <v>A-1603</v>
          </cell>
          <cell r="D136">
            <v>4590846</v>
          </cell>
          <cell r="E136">
            <v>4721967</v>
          </cell>
        </row>
        <row r="137">
          <cell r="C137" t="str">
            <v>E-903</v>
          </cell>
          <cell r="D137">
            <v>8305707</v>
          </cell>
          <cell r="E137" t="str">
            <v>No claim received yet</v>
          </cell>
        </row>
        <row r="138">
          <cell r="C138" t="str">
            <v>C-102</v>
          </cell>
          <cell r="D138">
            <v>3597962</v>
          </cell>
          <cell r="E138">
            <v>3820230</v>
          </cell>
        </row>
        <row r="139">
          <cell r="C139" t="str">
            <v>A-1003</v>
          </cell>
          <cell r="D139">
            <v>5525221</v>
          </cell>
          <cell r="E139" t="str">
            <v>No claim received yet</v>
          </cell>
        </row>
        <row r="140">
          <cell r="C140" t="str">
            <v>C-1501</v>
          </cell>
          <cell r="D140">
            <v>5786937</v>
          </cell>
          <cell r="E140">
            <v>5987295</v>
          </cell>
        </row>
        <row r="141">
          <cell r="C141" t="str">
            <v>E-1602</v>
          </cell>
          <cell r="D141">
            <v>5961708</v>
          </cell>
          <cell r="E141" t="str">
            <v>No claim received yet</v>
          </cell>
        </row>
        <row r="142">
          <cell r="C142" t="str">
            <v>E-802</v>
          </cell>
          <cell r="D142">
            <v>7087592</v>
          </cell>
          <cell r="E142">
            <v>7303874</v>
          </cell>
        </row>
        <row r="143">
          <cell r="C143" t="str">
            <v>B-101</v>
          </cell>
          <cell r="D143">
            <v>5656945</v>
          </cell>
          <cell r="E143" t="str">
            <v>No claim received yet</v>
          </cell>
        </row>
        <row r="144">
          <cell r="C144" t="str">
            <v>C-401</v>
          </cell>
          <cell r="D144">
            <v>6173717</v>
          </cell>
          <cell r="E144">
            <v>5683384</v>
          </cell>
        </row>
        <row r="145">
          <cell r="C145" t="str">
            <v>G-1502</v>
          </cell>
          <cell r="D145">
            <v>7522078</v>
          </cell>
          <cell r="E145">
            <v>7733816</v>
          </cell>
        </row>
        <row r="146">
          <cell r="C146" t="str">
            <v>B-703</v>
          </cell>
          <cell r="D146">
            <v>5863367</v>
          </cell>
          <cell r="E146">
            <v>6047062</v>
          </cell>
        </row>
        <row r="147">
          <cell r="C147" t="str">
            <v>D-803</v>
          </cell>
          <cell r="D147">
            <v>4677697</v>
          </cell>
          <cell r="E147">
            <v>8173038</v>
          </cell>
        </row>
        <row r="148">
          <cell r="C148" t="str">
            <v>B-201</v>
          </cell>
          <cell r="D148">
            <v>5630484</v>
          </cell>
          <cell r="E148">
            <v>5786798</v>
          </cell>
        </row>
        <row r="149">
          <cell r="C149" t="str">
            <v>A-1501</v>
          </cell>
          <cell r="D149">
            <v>7313053</v>
          </cell>
          <cell r="E149">
            <v>7528944</v>
          </cell>
        </row>
        <row r="150">
          <cell r="C150" t="str">
            <v>B-1601</v>
          </cell>
          <cell r="D150">
            <v>5531922</v>
          </cell>
          <cell r="E150">
            <v>5684630</v>
          </cell>
        </row>
        <row r="151">
          <cell r="C151" t="str">
            <v>A-1201</v>
          </cell>
          <cell r="D151">
            <v>5456897</v>
          </cell>
          <cell r="E151">
            <v>5643508</v>
          </cell>
        </row>
        <row r="152">
          <cell r="C152" t="str">
            <v>A-802</v>
          </cell>
          <cell r="D152">
            <v>6016289</v>
          </cell>
          <cell r="E152">
            <v>6187246</v>
          </cell>
        </row>
        <row r="153">
          <cell r="C153" t="str">
            <v>B-1203</v>
          </cell>
          <cell r="D153">
            <v>5682920</v>
          </cell>
          <cell r="E153">
            <v>5861468</v>
          </cell>
        </row>
        <row r="154">
          <cell r="C154" t="str">
            <v>C-003</v>
          </cell>
          <cell r="D154">
            <v>5018699</v>
          </cell>
          <cell r="E154">
            <v>5194070</v>
          </cell>
        </row>
        <row r="155">
          <cell r="C155" t="str">
            <v>B-1103</v>
          </cell>
          <cell r="D155">
            <v>5863377</v>
          </cell>
          <cell r="E155">
            <v>6133689</v>
          </cell>
        </row>
        <row r="156">
          <cell r="C156" t="str">
            <v>C-302</v>
          </cell>
          <cell r="D156">
            <v>4320464</v>
          </cell>
          <cell r="E156">
            <v>4442279</v>
          </cell>
        </row>
        <row r="157">
          <cell r="C157" t="str">
            <v>C-1003</v>
          </cell>
          <cell r="D157">
            <v>4807396</v>
          </cell>
          <cell r="E157" t="str">
            <v>No claim received yet</v>
          </cell>
        </row>
        <row r="158">
          <cell r="C158" t="str">
            <v>C-1602</v>
          </cell>
          <cell r="D158">
            <v>5968850</v>
          </cell>
          <cell r="E158" t="str">
            <v>No claim received yet</v>
          </cell>
        </row>
        <row r="159">
          <cell r="C159" t="str">
            <v>B-503</v>
          </cell>
          <cell r="D159">
            <v>5299013</v>
          </cell>
          <cell r="E159">
            <v>5454078</v>
          </cell>
        </row>
        <row r="160">
          <cell r="C160" t="str">
            <v>B-603</v>
          </cell>
          <cell r="D160">
            <v>5858889</v>
          </cell>
          <cell r="E160">
            <v>6047062</v>
          </cell>
        </row>
        <row r="161">
          <cell r="C161" t="str">
            <v>A-903</v>
          </cell>
          <cell r="D161">
            <v>6066708</v>
          </cell>
          <cell r="E161" t="str">
            <v>No claim received yet</v>
          </cell>
        </row>
        <row r="162">
          <cell r="C162" t="str">
            <v>C-1102</v>
          </cell>
          <cell r="D162">
            <v>4859851</v>
          </cell>
          <cell r="E162">
            <v>5009756</v>
          </cell>
        </row>
        <row r="163">
          <cell r="C163" t="str">
            <v>A-1001</v>
          </cell>
          <cell r="D163">
            <v>6128324</v>
          </cell>
          <cell r="E163">
            <v>6298217</v>
          </cell>
        </row>
        <row r="164">
          <cell r="C164" t="str">
            <v>B-1001</v>
          </cell>
          <cell r="D164">
            <v>5531919</v>
          </cell>
          <cell r="E164">
            <v>5683386</v>
          </cell>
        </row>
        <row r="165">
          <cell r="C165" t="str">
            <v>G-103</v>
          </cell>
          <cell r="D165">
            <v>12897264</v>
          </cell>
          <cell r="E165">
            <v>13375494</v>
          </cell>
        </row>
        <row r="166">
          <cell r="C166" t="str">
            <v>A-202</v>
          </cell>
          <cell r="D166">
            <v>6915004</v>
          </cell>
          <cell r="E166">
            <v>7132604</v>
          </cell>
        </row>
        <row r="167">
          <cell r="C167" t="str">
            <v>B-501</v>
          </cell>
          <cell r="D167">
            <v>5534988</v>
          </cell>
          <cell r="E167">
            <v>5686550</v>
          </cell>
        </row>
        <row r="168">
          <cell r="C168" t="str">
            <v>F-502</v>
          </cell>
          <cell r="D168">
            <v>6923810</v>
          </cell>
          <cell r="E168" t="str">
            <v>No claim received yet</v>
          </cell>
        </row>
        <row r="169">
          <cell r="C169" t="str">
            <v>B-1202</v>
          </cell>
          <cell r="D169">
            <v>5862949</v>
          </cell>
          <cell r="E169" t="str">
            <v>No claim received yet</v>
          </cell>
        </row>
        <row r="170">
          <cell r="C170" t="str">
            <v>E-1603</v>
          </cell>
          <cell r="D170">
            <v>7637915</v>
          </cell>
          <cell r="E170">
            <v>7888764</v>
          </cell>
        </row>
        <row r="171">
          <cell r="C171" t="str">
            <v>G-1202</v>
          </cell>
          <cell r="D171">
            <v>8148081</v>
          </cell>
          <cell r="E171">
            <v>8405683</v>
          </cell>
        </row>
        <row r="172">
          <cell r="C172" t="str">
            <v>A-1803</v>
          </cell>
          <cell r="D172">
            <v>8753775</v>
          </cell>
          <cell r="E172">
            <v>9177121</v>
          </cell>
        </row>
        <row r="173">
          <cell r="C173" t="str">
            <v>F-803</v>
          </cell>
          <cell r="D173">
            <v>6622377</v>
          </cell>
          <cell r="E173">
            <v>14523733.119999999</v>
          </cell>
        </row>
        <row r="174">
          <cell r="C174" t="str">
            <v>C-702</v>
          </cell>
          <cell r="D174">
            <v>5180953</v>
          </cell>
          <cell r="E174">
            <v>5332218</v>
          </cell>
        </row>
        <row r="175">
          <cell r="C175" t="str">
            <v>A-201</v>
          </cell>
          <cell r="D175">
            <v>7722040</v>
          </cell>
          <cell r="E175" t="str">
            <v>No claim received yet</v>
          </cell>
        </row>
        <row r="176">
          <cell r="C176" t="str">
            <v>E-602</v>
          </cell>
          <cell r="D176">
            <v>7628778</v>
          </cell>
          <cell r="E176">
            <v>7884711</v>
          </cell>
        </row>
        <row r="177">
          <cell r="C177" t="str">
            <v>C-402</v>
          </cell>
          <cell r="D177">
            <v>4489203</v>
          </cell>
          <cell r="E177">
            <v>4623149</v>
          </cell>
        </row>
        <row r="178">
          <cell r="C178" t="str">
            <v>D-902</v>
          </cell>
          <cell r="D178">
            <v>4795553</v>
          </cell>
          <cell r="E178">
            <v>4530247</v>
          </cell>
        </row>
        <row r="179">
          <cell r="C179" t="str">
            <v>A-701</v>
          </cell>
          <cell r="D179">
            <v>7666838</v>
          </cell>
          <cell r="E179">
            <v>7931422</v>
          </cell>
        </row>
        <row r="180">
          <cell r="C180" t="str">
            <v>C-802</v>
          </cell>
          <cell r="D180">
            <v>2961701</v>
          </cell>
          <cell r="E180">
            <v>9734695</v>
          </cell>
        </row>
        <row r="181">
          <cell r="C181" t="str">
            <v>A-402</v>
          </cell>
          <cell r="D181">
            <v>5524652</v>
          </cell>
          <cell r="E181" t="str">
            <v>No claim received yet</v>
          </cell>
        </row>
        <row r="182">
          <cell r="C182" t="str">
            <v>D-802</v>
          </cell>
          <cell r="D182">
            <v>5531910</v>
          </cell>
          <cell r="E182">
            <v>5701636</v>
          </cell>
        </row>
        <row r="183">
          <cell r="C183" t="str">
            <v>A-303</v>
          </cell>
          <cell r="D183">
            <v>6711891</v>
          </cell>
          <cell r="E183">
            <v>6922234</v>
          </cell>
        </row>
        <row r="184">
          <cell r="C184" t="str">
            <v>F-403</v>
          </cell>
          <cell r="D184">
            <v>5410083</v>
          </cell>
          <cell r="E184">
            <v>5556305</v>
          </cell>
        </row>
        <row r="185">
          <cell r="C185" t="str">
            <v>F-302</v>
          </cell>
          <cell r="D185">
            <v>6355264</v>
          </cell>
          <cell r="E185" t="str">
            <v>No claim received yet</v>
          </cell>
        </row>
        <row r="186">
          <cell r="C186" t="str">
            <v>E-002</v>
          </cell>
          <cell r="D186">
            <v>4528990</v>
          </cell>
          <cell r="E186">
            <v>4648021</v>
          </cell>
        </row>
        <row r="187">
          <cell r="C187" t="str">
            <v>E-502</v>
          </cell>
          <cell r="D187">
            <v>5714949</v>
          </cell>
          <cell r="E187" t="str">
            <v>No claim received yet</v>
          </cell>
        </row>
        <row r="188">
          <cell r="C188" t="str">
            <v>C-1601</v>
          </cell>
          <cell r="D188">
            <v>5531949</v>
          </cell>
          <cell r="E188" t="str">
            <v>No claim received yet</v>
          </cell>
        </row>
        <row r="189">
          <cell r="C189" t="str">
            <v>B-1503</v>
          </cell>
          <cell r="D189">
            <v>5880681</v>
          </cell>
          <cell r="E189" t="str">
            <v>No claim received yet</v>
          </cell>
        </row>
        <row r="190">
          <cell r="C190" t="str">
            <v>F-1701</v>
          </cell>
          <cell r="D190">
            <v>7916513</v>
          </cell>
          <cell r="E190">
            <v>10324940</v>
          </cell>
        </row>
        <row r="191">
          <cell r="C191" t="str">
            <v>G-1601</v>
          </cell>
          <cell r="D191">
            <v>4223009</v>
          </cell>
        </row>
        <row r="192">
          <cell r="C192" t="str">
            <v>B-803</v>
          </cell>
          <cell r="D192">
            <v>5156629</v>
          </cell>
          <cell r="E192" t="str">
            <v>No claim received yet</v>
          </cell>
        </row>
        <row r="193">
          <cell r="C193" t="str">
            <v>C-1103</v>
          </cell>
          <cell r="D193">
            <v>4941247</v>
          </cell>
          <cell r="E193">
            <v>5207616</v>
          </cell>
        </row>
        <row r="194">
          <cell r="C194" t="str">
            <v>A-1403</v>
          </cell>
          <cell r="D194">
            <v>5345052</v>
          </cell>
          <cell r="E194">
            <v>5496616</v>
          </cell>
        </row>
        <row r="195">
          <cell r="C195" t="str">
            <v>B-502</v>
          </cell>
          <cell r="D195">
            <v>4383300</v>
          </cell>
          <cell r="E195">
            <v>4567639</v>
          </cell>
        </row>
        <row r="196">
          <cell r="C196" t="str">
            <v>A-801</v>
          </cell>
          <cell r="D196">
            <v>6276896</v>
          </cell>
          <cell r="E196">
            <v>6452381</v>
          </cell>
        </row>
        <row r="197">
          <cell r="C197" t="str">
            <v>A-1602</v>
          </cell>
          <cell r="D197">
            <v>4859851</v>
          </cell>
          <cell r="E197">
            <v>4998113</v>
          </cell>
        </row>
        <row r="198">
          <cell r="C198" t="str">
            <v>C-303</v>
          </cell>
          <cell r="D198">
            <v>5190483</v>
          </cell>
          <cell r="E198">
            <v>5209986</v>
          </cell>
        </row>
        <row r="199">
          <cell r="C199" t="str">
            <v>C-002</v>
          </cell>
          <cell r="D199">
            <v>5545250</v>
          </cell>
          <cell r="E199" t="str">
            <v>No claim received yet</v>
          </cell>
        </row>
        <row r="200">
          <cell r="C200" t="str">
            <v>F-702</v>
          </cell>
          <cell r="D200">
            <v>5509703</v>
          </cell>
          <cell r="E200">
            <v>5658568</v>
          </cell>
        </row>
        <row r="201">
          <cell r="C201" t="str">
            <v>B-1003</v>
          </cell>
          <cell r="D201">
            <v>3704506</v>
          </cell>
          <cell r="E201">
            <v>3851892</v>
          </cell>
        </row>
        <row r="202">
          <cell r="C202" t="str">
            <v>B-401</v>
          </cell>
          <cell r="D202">
            <v>5714647</v>
          </cell>
          <cell r="E202">
            <v>5897417</v>
          </cell>
        </row>
        <row r="203">
          <cell r="C203" t="str">
            <v>B-1602</v>
          </cell>
          <cell r="D203">
            <v>3749306</v>
          </cell>
          <cell r="E203">
            <v>3865158</v>
          </cell>
        </row>
        <row r="204">
          <cell r="C204" t="str">
            <v>G-1002</v>
          </cell>
          <cell r="D204">
            <v>5479881</v>
          </cell>
          <cell r="E204">
            <v>6194412</v>
          </cell>
        </row>
        <row r="205">
          <cell r="C205" t="str">
            <v>F-903</v>
          </cell>
          <cell r="D205">
            <v>6620889</v>
          </cell>
          <cell r="E205">
            <v>6809280</v>
          </cell>
        </row>
        <row r="206">
          <cell r="C206" t="str">
            <v>F-902</v>
          </cell>
          <cell r="D206">
            <v>6620889</v>
          </cell>
          <cell r="E206">
            <v>6809280</v>
          </cell>
        </row>
        <row r="207">
          <cell r="C207" t="str">
            <v>E-1002</v>
          </cell>
          <cell r="D207">
            <v>7379279</v>
          </cell>
          <cell r="E207">
            <v>7607300</v>
          </cell>
        </row>
        <row r="208">
          <cell r="C208" t="str">
            <v>E-202</v>
          </cell>
          <cell r="D208">
            <v>6397872</v>
          </cell>
          <cell r="E208" t="str">
            <v>No claim received yet</v>
          </cell>
        </row>
        <row r="209">
          <cell r="C209" t="str">
            <v>A-1101</v>
          </cell>
          <cell r="D209">
            <v>6380047</v>
          </cell>
          <cell r="E209">
            <v>6557719</v>
          </cell>
        </row>
        <row r="210">
          <cell r="C210" t="str">
            <v>E-1102</v>
          </cell>
          <cell r="D210">
            <v>7437865</v>
          </cell>
          <cell r="E210">
            <v>7692364</v>
          </cell>
        </row>
        <row r="211">
          <cell r="C211" t="str">
            <v>A-502</v>
          </cell>
          <cell r="D211">
            <v>6704831</v>
          </cell>
          <cell r="E211">
            <v>6914956</v>
          </cell>
        </row>
        <row r="212">
          <cell r="C212" t="str">
            <v>C-203</v>
          </cell>
          <cell r="D212">
            <v>3927932</v>
          </cell>
          <cell r="E212" t="str">
            <v>No claim received yet</v>
          </cell>
        </row>
        <row r="213">
          <cell r="C213" t="str">
            <v>B-203</v>
          </cell>
          <cell r="D213">
            <v>4912815</v>
          </cell>
          <cell r="E213">
            <v>5069205</v>
          </cell>
        </row>
        <row r="214">
          <cell r="C214" t="str">
            <v>C-403</v>
          </cell>
          <cell r="D214">
            <v>4489519</v>
          </cell>
          <cell r="E214">
            <v>4611863</v>
          </cell>
        </row>
        <row r="215">
          <cell r="C215" t="str">
            <v>C-902</v>
          </cell>
          <cell r="D215">
            <v>4806901</v>
          </cell>
          <cell r="E215">
            <v>4941996</v>
          </cell>
        </row>
        <row r="216">
          <cell r="C216" t="str">
            <v>A-803</v>
          </cell>
          <cell r="D216">
            <v>6710064</v>
          </cell>
          <cell r="E216" t="str">
            <v>No claim received yet</v>
          </cell>
        </row>
        <row r="217">
          <cell r="C217" t="str">
            <v>F-602</v>
          </cell>
          <cell r="D217">
            <v>6335912</v>
          </cell>
          <cell r="E217">
            <v>6518961</v>
          </cell>
        </row>
        <row r="218">
          <cell r="C218" t="str">
            <v>A-302</v>
          </cell>
          <cell r="D218">
            <v>6723369</v>
          </cell>
          <cell r="E218" t="str">
            <v>No claim received yet</v>
          </cell>
        </row>
        <row r="219">
          <cell r="C219" t="str">
            <v>C-502</v>
          </cell>
          <cell r="D219">
            <v>5867254</v>
          </cell>
          <cell r="E219" t="str">
            <v>61,01,498</v>
          </cell>
        </row>
        <row r="220">
          <cell r="C220" t="str">
            <v>A-703</v>
          </cell>
          <cell r="D220">
            <v>3402065</v>
          </cell>
          <cell r="E220">
            <v>3789237</v>
          </cell>
        </row>
        <row r="221">
          <cell r="C221" t="str">
            <v>F-1503</v>
          </cell>
          <cell r="D221">
            <v>4961317</v>
          </cell>
          <cell r="E221" t="str">
            <v>51,00,000.00</v>
          </cell>
        </row>
        <row r="222">
          <cell r="C222" t="str">
            <v>A-601</v>
          </cell>
          <cell r="D222">
            <v>6840497</v>
          </cell>
          <cell r="E222" t="str">
            <v>70,31,366</v>
          </cell>
        </row>
        <row r="223">
          <cell r="C223" t="str">
            <v>F-402</v>
          </cell>
          <cell r="D223">
            <v>7295940</v>
          </cell>
          <cell r="E223" t="str">
            <v>No claim received yet</v>
          </cell>
        </row>
      </sheetData>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Home Buyers"/>
      <sheetName val="Form D"/>
      <sheetName val="Form B"/>
      <sheetName val="For Upload Form D"/>
      <sheetName val="For Upload Form B"/>
      <sheetName val="For upload (Home Buyers)"/>
    </sheetNames>
    <sheetDataSet>
      <sheetData sheetId="0" refreshError="1">
        <row r="2">
          <cell r="D2" t="str">
            <v>Vineet Gehani &amp; Vani Gehani</v>
          </cell>
          <cell r="E2" t="str">
            <v>T-7/202 Uniworld Gardens, Sohna Road Gurgaon</v>
          </cell>
          <cell r="F2" t="str">
            <v>Vinnet-ABAPG5734K Vani-AEGPG9988K</v>
          </cell>
          <cell r="G2" t="str">
            <v>vineetgehani@yahoo.com</v>
          </cell>
          <cell r="H2">
            <v>9871239886</v>
          </cell>
          <cell r="I2" t="str">
            <v>C-403</v>
          </cell>
          <cell r="J2">
            <v>4611863</v>
          </cell>
        </row>
        <row r="3">
          <cell r="D3" t="str">
            <v>Gayatree Ananad and Renu Anaand</v>
          </cell>
          <cell r="E3" t="str">
            <v>K26 Jungpura Extension, New Delhi</v>
          </cell>
          <cell r="F3" t="str">
            <v>Gayatri  - AHYPA8121FRenu - AAEPA5991N0</v>
          </cell>
          <cell r="G3" t="str">
            <v>arun.anand@spadefinancial.com</v>
          </cell>
          <cell r="H3">
            <v>9810081881</v>
          </cell>
          <cell r="I3" t="str">
            <v>F-603</v>
          </cell>
          <cell r="J3">
            <v>4457255.76</v>
          </cell>
        </row>
        <row r="4">
          <cell r="D4" t="str">
            <v>Dipika Vasdev</v>
          </cell>
          <cell r="E4" t="str">
            <v>Flat No. 502, Building 115, Discovery Garden, Dubai, UAE</v>
          </cell>
          <cell r="G4" t="str">
            <v>nimitvasdev@gmail.com</v>
          </cell>
          <cell r="H4" t="str">
            <v>971-56-7090848</v>
          </cell>
          <cell r="I4" t="str">
            <v>B-602</v>
          </cell>
          <cell r="J4">
            <v>4771783</v>
          </cell>
        </row>
        <row r="5">
          <cell r="D5" t="str">
            <v xml:space="preserve">Mr. Ajay Kumar Agarwal </v>
          </cell>
          <cell r="E5" t="str">
            <v>13, Civil Lines, Opp. Shiv Temple,</v>
          </cell>
          <cell r="F5" t="str">
            <v>ACBPA2627A</v>
          </cell>
          <cell r="G5" t="str">
            <v>ajaykag@gmail.com</v>
          </cell>
          <cell r="H5">
            <v>9899797570</v>
          </cell>
          <cell r="I5" t="str">
            <v>E-1503</v>
          </cell>
          <cell r="J5">
            <v>21575614</v>
          </cell>
        </row>
        <row r="6">
          <cell r="D6" t="str">
            <v xml:space="preserve">M/S. Aaa landmark pvt ltd </v>
          </cell>
          <cell r="E6" t="str">
            <v>K-24 Jangpura Extension</v>
          </cell>
          <cell r="G6" t="str">
            <v>arun.anand@spadefinancial.com</v>
          </cell>
          <cell r="H6">
            <v>9810081881</v>
          </cell>
          <cell r="I6" t="str">
            <v>D-1603</v>
          </cell>
          <cell r="J6">
            <v>4395084</v>
          </cell>
        </row>
        <row r="7">
          <cell r="D7" t="str">
            <v>Arun Anand</v>
          </cell>
          <cell r="E7" t="str">
            <v>K-24 Jangpura Extension</v>
          </cell>
          <cell r="G7" t="str">
            <v>arun.anand@spadefinancial.com</v>
          </cell>
          <cell r="H7">
            <v>9810081881</v>
          </cell>
          <cell r="I7" t="str">
            <v>E-1501</v>
          </cell>
          <cell r="J7">
            <v>6232800</v>
          </cell>
        </row>
        <row r="8">
          <cell r="D8" t="str">
            <v>Arun Anand</v>
          </cell>
          <cell r="E8" t="str">
            <v>K-24 Jangpura Extension</v>
          </cell>
          <cell r="G8" t="str">
            <v>arun.anand@spadefinancial.com</v>
          </cell>
          <cell r="H8">
            <v>9810081881</v>
          </cell>
          <cell r="I8" t="str">
            <v>E-1601</v>
          </cell>
          <cell r="J8">
            <v>6232800</v>
          </cell>
        </row>
        <row r="9">
          <cell r="D9" t="str">
            <v>Sajjan Kumar Agarwal</v>
          </cell>
          <cell r="E9" t="str">
            <v>H.No. 473, Sector - 39, Gurgaon - 122001</v>
          </cell>
          <cell r="F9" t="str">
            <v>ADAPA1065G</v>
          </cell>
          <cell r="G9" t="str">
            <v>sanjeevkumargarg@gmail.com</v>
          </cell>
          <cell r="H9">
            <v>9810512074</v>
          </cell>
          <cell r="I9" t="str">
            <v>C-1102</v>
          </cell>
          <cell r="J9">
            <v>5009756</v>
          </cell>
        </row>
        <row r="10">
          <cell r="D10" t="str">
            <v>Sangeeta Arora</v>
          </cell>
          <cell r="E10" t="str">
            <v>H.No. 3431, Sayad Sarai, Rewari - 123401</v>
          </cell>
          <cell r="G10" t="str">
            <v>yogarora962@gmail.com</v>
          </cell>
          <cell r="H10">
            <v>9416709174</v>
          </cell>
          <cell r="I10" t="str">
            <v>A-202</v>
          </cell>
          <cell r="J10">
            <v>7132604</v>
          </cell>
        </row>
        <row r="11">
          <cell r="D11" t="str">
            <v>Surinder Kaur &amp; Devinder Pal Singh</v>
          </cell>
          <cell r="E11" t="str">
            <v>Flat No. 25, Nalanda Apartments, Block - D, Vikaspuri, New Delhi</v>
          </cell>
          <cell r="G11" t="str">
            <v>dps21sk@yahoo.co.in</v>
          </cell>
          <cell r="I11" t="str">
            <v>F-702</v>
          </cell>
          <cell r="J11">
            <v>5658568</v>
          </cell>
        </row>
        <row r="12">
          <cell r="D12" t="str">
            <v>Sunil Kumar Bhat &amp; Anita Bhatt</v>
          </cell>
          <cell r="E12" t="str">
            <v>E-501, GPL Eden Heights, Sector - 70, Sohna Road, Gurgaon, Haryana</v>
          </cell>
          <cell r="F12" t="str">
            <v>AFBPB2370L</v>
          </cell>
          <cell r="G12" t="str">
            <v>Sunilbhatt@mindagroup.com</v>
          </cell>
          <cell r="I12" t="str">
            <v>A-801</v>
          </cell>
          <cell r="J12">
            <v>6452381</v>
          </cell>
        </row>
        <row r="13">
          <cell r="D13" t="str">
            <v>Sandeep Agarwal</v>
          </cell>
          <cell r="E13" t="str">
            <v>T6/401, NRI Residency, Sector 45, Noida</v>
          </cell>
          <cell r="F13" t="str">
            <v>ADLPA8226E</v>
          </cell>
          <cell r="G13" t="str">
            <v>sa@gmail.com</v>
          </cell>
          <cell r="H13">
            <v>9212109005</v>
          </cell>
          <cell r="I13" t="str">
            <v>A-1001</v>
          </cell>
          <cell r="J13">
            <v>6298217</v>
          </cell>
        </row>
        <row r="14">
          <cell r="D14" t="str">
            <v>S. Shanker</v>
          </cell>
          <cell r="E14" t="str">
            <v>Flat No. -107, SSVR Freesia Apartment, Sy. No. 48/2, Varanasi Main Road, T.C Palya Post, Banglore</v>
          </cell>
          <cell r="F14" t="str">
            <v>AYTPS7817A</v>
          </cell>
          <cell r="G14" t="str">
            <v>shanker151@gmail.com</v>
          </cell>
          <cell r="H14">
            <v>7760997798</v>
          </cell>
          <cell r="I14" t="str">
            <v>B-503</v>
          </cell>
          <cell r="J14">
            <v>5454078</v>
          </cell>
        </row>
        <row r="15">
          <cell r="D15" t="str">
            <v>Rakesh Sarin &amp; Bala Sarin</v>
          </cell>
          <cell r="E15" t="str">
            <v>7G, FG1, Vikaspuri, New Delhi</v>
          </cell>
          <cell r="F15" t="str">
            <v>Rakesh - ASFPS1256HBala - AQYPS2997J</v>
          </cell>
          <cell r="G15" t="str">
            <v>associated0001@gmai.com</v>
          </cell>
          <cell r="I15" t="str">
            <v>A-1202</v>
          </cell>
          <cell r="J15">
            <v>6914956</v>
          </cell>
        </row>
        <row r="16">
          <cell r="D16" t="str">
            <v>Ratna Sharma &amp; Sudhir Kumar Sharma</v>
          </cell>
          <cell r="E16" t="str">
            <v>47, Raj Vihar CGHS Ltd., Plot No. 13, Sector - 18 A, Dwarka, New Delhi</v>
          </cell>
          <cell r="F16" t="str">
            <v>Ratna - AUXPS3978CSudhir - AASPS7810C</v>
          </cell>
          <cell r="G16" t="str">
            <v>firstsudhir@yahoo.com</v>
          </cell>
          <cell r="H16">
            <v>9810400588</v>
          </cell>
          <cell r="I16" t="str">
            <v>A-1201</v>
          </cell>
          <cell r="J16">
            <v>5643508</v>
          </cell>
        </row>
        <row r="17">
          <cell r="D17" t="str">
            <v>Rajarajan Viswanathan</v>
          </cell>
          <cell r="E17" t="str">
            <v>Bridewood A-2803, Hiranandani Upscale, Egattur, OMR, Chennai</v>
          </cell>
          <cell r="F17" t="str">
            <v>ADNPV4138J</v>
          </cell>
          <cell r="G17" t="str">
            <v>sendvis@gmail.com</v>
          </cell>
          <cell r="I17" t="str">
            <v>E-802</v>
          </cell>
          <cell r="J17">
            <v>7303874</v>
          </cell>
        </row>
        <row r="18">
          <cell r="D18" t="str">
            <v>Rajesh Kumar Gupta</v>
          </cell>
          <cell r="E18" t="str">
            <v>Flat No. 11-B, Everest Building, Anushakti Nagar, Mumbai</v>
          </cell>
          <cell r="F18" t="str">
            <v>ADGPG3165R</v>
          </cell>
          <cell r="G18" t="str">
            <v>rkga@rediff.com</v>
          </cell>
          <cell r="H18" t="str">
            <v>869350708, 9969831861</v>
          </cell>
          <cell r="I18" t="str">
            <v>B-201</v>
          </cell>
          <cell r="J18">
            <v>5786798</v>
          </cell>
        </row>
        <row r="19">
          <cell r="D19" t="str">
            <v>Rakesh Kumar</v>
          </cell>
          <cell r="E19" t="str">
            <v>138, F-Block, Sirsa, Haryana</v>
          </cell>
          <cell r="F19" t="str">
            <v>GWPPK2350L</v>
          </cell>
          <cell r="G19" t="str">
            <v>karan_mehta3@yahoo.com</v>
          </cell>
          <cell r="I19" t="str">
            <v>B-1601</v>
          </cell>
          <cell r="J19">
            <v>5684630</v>
          </cell>
        </row>
        <row r="20">
          <cell r="D20" t="str">
            <v>Rajeev Mahajan &amp; Rohit Savara</v>
          </cell>
          <cell r="E20" t="str">
            <v>H.No. 589, Sector 15 A, Faridabad</v>
          </cell>
          <cell r="F20" t="str">
            <v>SINPM8248D</v>
          </cell>
          <cell r="G20" t="str">
            <v>ra_mahajan@live.com</v>
          </cell>
          <cell r="H20">
            <v>9999908300</v>
          </cell>
          <cell r="I20" t="str">
            <v>G-1502</v>
          </cell>
          <cell r="J20">
            <v>7733816</v>
          </cell>
        </row>
        <row r="21">
          <cell r="D21" t="str">
            <v>Rahul  Arora &amp; Saroj Arora</v>
          </cell>
          <cell r="E21" t="str">
            <v>H.No. 168-A, New Colony near Dusshera Ground, Gurgaon, Harayana</v>
          </cell>
          <cell r="F21" t="str">
            <v>AFLPA2914F</v>
          </cell>
          <cell r="G21" t="str">
            <v>rahulpratu@gmail.comarorayash56@gmail.com</v>
          </cell>
          <cell r="H21" t="str">
            <v>9810824815,9810924815</v>
          </cell>
          <cell r="I21" t="str">
            <v>C-102</v>
          </cell>
          <cell r="J21">
            <v>3820230</v>
          </cell>
        </row>
        <row r="22">
          <cell r="D22" t="str">
            <v>Ritu Kapoor, Munish Mehta, Saurabh Arora</v>
          </cell>
          <cell r="E22" t="str">
            <v>Ritu - R/O C-364 F.F, Defense Colony, New DelhiMunish - 5/31 Old Rajender Nagar, New DelhiSaurabh - H-63, NDSE-I, New Delhi</v>
          </cell>
          <cell r="F22" t="str">
            <v>Ritu - AHGPK5284PMunish - AAAPM2082JSaurabh - ACNPA4129K</v>
          </cell>
          <cell r="G22" t="str">
            <v>ramishkapoor@gmail.comagbruheshotmail.comsaurabharora11@hotmail.com</v>
          </cell>
          <cell r="H22" t="str">
            <v>9810083116,09810149078,09810067595</v>
          </cell>
          <cell r="I22" t="str">
            <v>---C-302</v>
          </cell>
          <cell r="J22">
            <v>4442279</v>
          </cell>
        </row>
        <row r="23">
          <cell r="D23" t="str">
            <v>Rakesh Gangahar &amp; Kusum Bala</v>
          </cell>
          <cell r="E23" t="str">
            <v>H.No. 67, DC Road, Vasant Vihar, Hoshiarpur</v>
          </cell>
          <cell r="F23" t="str">
            <v>Rakesh - AIDPG6752EKusum - AAUPB4871C</v>
          </cell>
          <cell r="G23" t="str">
            <v>gangahar.rakesh@gmail.com</v>
          </cell>
          <cell r="H23">
            <v>8130741012</v>
          </cell>
          <cell r="I23" t="str">
            <v>A-1501</v>
          </cell>
          <cell r="J23">
            <v>7528944</v>
          </cell>
        </row>
        <row r="24">
          <cell r="D24" t="str">
            <v>Rekha Yadav</v>
          </cell>
          <cell r="E24" t="str">
            <v>Flat No, 157, Vijay Veer Awas Appt., (Kargil Appt.) Sec - 18 A, Dwarka, New Delhi</v>
          </cell>
          <cell r="F24" t="str">
            <v>Aadhar - 260905344175</v>
          </cell>
          <cell r="G24" t="str">
            <v>aktyad@gmail.com</v>
          </cell>
          <cell r="H24">
            <v>7838499092</v>
          </cell>
          <cell r="I24" t="str">
            <v>C-003</v>
          </cell>
          <cell r="J24">
            <v>5194070</v>
          </cell>
        </row>
        <row r="25">
          <cell r="D25" t="str">
            <v>Rajeev Aggarwal &amp; Amita Aggarwal</v>
          </cell>
          <cell r="E25" t="str">
            <v>R 28 Budh Vvihar Phase 1, New Delhi</v>
          </cell>
          <cell r="F25" t="str">
            <v>Rajeev - AHXPA6621R, 920254153748Amita - 822411375360</v>
          </cell>
          <cell r="G25" t="str">
            <v>Rajeevaggarwal@mindagroup.com</v>
          </cell>
          <cell r="I25" t="str">
            <v>C-401</v>
          </cell>
          <cell r="J25">
            <v>5683384</v>
          </cell>
        </row>
        <row r="26">
          <cell r="D26" t="str">
            <v>Ravi Kothari &amp; Sohan Lal Kothari</v>
          </cell>
          <cell r="E26" t="str">
            <v>D1- 1001, Akshar Elementa, Tathawade, Pune</v>
          </cell>
          <cell r="F26" t="str">
            <v>Ravi - AWXPK4537D, 311746112481Sohan - ACVPK4723D, 847660252043</v>
          </cell>
          <cell r="G26" t="str">
            <v>ravi.engr84@gmail.com</v>
          </cell>
          <cell r="H26">
            <v>9910093420</v>
          </cell>
          <cell r="I26" t="str">
            <v>A-802</v>
          </cell>
          <cell r="J26">
            <v>6187246</v>
          </cell>
        </row>
        <row r="27">
          <cell r="D27" t="str">
            <v>Rajesh Choudhary &amp; Ram Singh Chaudhary</v>
          </cell>
          <cell r="E27" t="str">
            <v>Village Jatuwas, P.O Bithwana Distt. Rewari, Haryana</v>
          </cell>
          <cell r="F27" t="str">
            <v>Rajesh - AIKPC5842N, 333791958773Ram - ACLPC6733B, 559255732652</v>
          </cell>
          <cell r="G27" t="str">
            <v>raj849@gmail.com</v>
          </cell>
          <cell r="H27">
            <v>9711380237</v>
          </cell>
          <cell r="I27" t="str">
            <v>B-703</v>
          </cell>
          <cell r="J27">
            <v>6047062</v>
          </cell>
        </row>
        <row r="28">
          <cell r="D28" t="str">
            <v>Prem Kumar Goyal</v>
          </cell>
          <cell r="E28" t="str">
            <v>F-268, 2nd Floor, Sushant Lok-2, Sector-56, Gurgaon</v>
          </cell>
          <cell r="F28" t="str">
            <v>ADYPK4210F, 887704697034</v>
          </cell>
          <cell r="G28" t="str">
            <v>npgoyal2001@yahoo.com</v>
          </cell>
          <cell r="I28" t="str">
            <v>A-1103</v>
          </cell>
          <cell r="J28">
            <v>5705023</v>
          </cell>
        </row>
        <row r="29">
          <cell r="D29" t="str">
            <v>Prasoon Chauhan</v>
          </cell>
          <cell r="E29" t="str">
            <v>NT-4, Flat No. 103, Eldeco Utopia, Sector 93 A,  Expressway Noida, Uttar Pradesh</v>
          </cell>
          <cell r="F29" t="str">
            <v>AFKPC9056K, 51271732496</v>
          </cell>
          <cell r="G29" t="str">
            <v>prasoon.chauhan.in@gmail.com</v>
          </cell>
          <cell r="I29" t="str">
            <v>D-602</v>
          </cell>
          <cell r="J29">
            <v>8569399</v>
          </cell>
        </row>
        <row r="30">
          <cell r="D30" t="str">
            <v>Nirbhai Singh &amp; Jarnail Singh</v>
          </cell>
          <cell r="E30" t="str">
            <v>Village Sounti Thsil Amloh, Fatehgarh Sahib, Punjab</v>
          </cell>
          <cell r="F30" t="str">
            <v>Nirbhai - AWWPS6836GJarnail - AEEPS6835F</v>
          </cell>
          <cell r="G30" t="str">
            <v>khattarrahul@yahoo.co.in</v>
          </cell>
          <cell r="I30" t="str">
            <v>F-102</v>
          </cell>
          <cell r="J30">
            <v>4202000</v>
          </cell>
        </row>
        <row r="31">
          <cell r="D31" t="str">
            <v>Naveen Chitkara</v>
          </cell>
          <cell r="E31" t="str">
            <v>261-C Block, Sirsa, Haryana</v>
          </cell>
          <cell r="F31">
            <v>262048819412</v>
          </cell>
          <cell r="G31" t="str">
            <v>naveen.chitkara11@gmail.com</v>
          </cell>
          <cell r="H31">
            <v>941621630</v>
          </cell>
          <cell r="I31" t="str">
            <v>F-103-(Tower-A)</v>
          </cell>
          <cell r="J31">
            <v>5704761</v>
          </cell>
        </row>
        <row r="32">
          <cell r="D32" t="str">
            <v>Nitin Gulati &amp; Aarti Gulati</v>
          </cell>
          <cell r="E32" t="str">
            <v>1649,GF, Sector - 4 Urban Estate, Gurgaon</v>
          </cell>
          <cell r="F32" t="str">
            <v>Nitin - AHPPG1948R, 884761490853Aarti - AZVPG8716H, 400506678019</v>
          </cell>
          <cell r="G32" t="str">
            <v>nitz.gulati@yahoo.com</v>
          </cell>
          <cell r="I32" t="str">
            <v>A-101</v>
          </cell>
          <cell r="J32">
            <v>7440399.9900000002</v>
          </cell>
        </row>
        <row r="33">
          <cell r="D33" t="str">
            <v>Navnitya Parkash Goyal</v>
          </cell>
          <cell r="E33" t="str">
            <v>F-268, 1sr Floor, Sushant LOK-2, Sector 56, Gurgaon</v>
          </cell>
          <cell r="F33" t="str">
            <v>AFOPG7446P, 771562921757</v>
          </cell>
          <cell r="G33" t="str">
            <v>npgoyal2001@yahoo.com</v>
          </cell>
          <cell r="I33" t="str">
            <v>E-1403</v>
          </cell>
          <cell r="J33">
            <v>6538475</v>
          </cell>
        </row>
        <row r="34">
          <cell r="D34" t="str">
            <v>Naresh Kumar Talwar &amp; Rita Talwar</v>
          </cell>
          <cell r="E34" t="str">
            <v>H.No. 479, Sector 22 A, Gurgaon</v>
          </cell>
          <cell r="F34" t="str">
            <v>Naresh - 373185816296,Rita - 945794416999</v>
          </cell>
          <cell r="G34" t="str">
            <v>talwarnaresh52@yahoo.com</v>
          </cell>
          <cell r="I34" t="str">
            <v>E-1003</v>
          </cell>
          <cell r="J34">
            <v>8272186</v>
          </cell>
        </row>
        <row r="35">
          <cell r="D35" t="str">
            <v>Vijay Kumar Tanwar</v>
          </cell>
          <cell r="E35" t="str">
            <v>H.No. 221, Sector 1, IMT, Manesar, Gurgaon</v>
          </cell>
          <cell r="F35" t="str">
            <v>ACGPT3880R,818824094569</v>
          </cell>
          <cell r="G35" t="str">
            <v>VIJAY.TANWAR@LIVE.COM</v>
          </cell>
          <cell r="H35">
            <v>9811354264</v>
          </cell>
          <cell r="I35" t="str">
            <v>A-502</v>
          </cell>
          <cell r="J35">
            <v>6914956</v>
          </cell>
        </row>
        <row r="36">
          <cell r="D36" t="str">
            <v>Mrs Veena Gupta</v>
          </cell>
          <cell r="E36" t="str">
            <v>166, A-Block, New Mandi, Sirsa</v>
          </cell>
          <cell r="F36">
            <v>504066318869</v>
          </cell>
          <cell r="G36" t="str">
            <v>guptaashokveena@gmail.com</v>
          </cell>
          <cell r="H36">
            <v>9416587222</v>
          </cell>
          <cell r="I36" t="str">
            <v>A-1101</v>
          </cell>
          <cell r="J36">
            <v>6557719</v>
          </cell>
        </row>
        <row r="37">
          <cell r="D37" t="str">
            <v>Vikas Sharma &amp; Divya Sharma</v>
          </cell>
          <cell r="E37" t="str">
            <v>Vikas - 367549687922, Divya - 755329796170</v>
          </cell>
          <cell r="F37" t="str">
            <v>Lohna, (opp. HPSEB rest house), Tehsil - Palampur, Distt. Kangra</v>
          </cell>
          <cell r="G37" t="str">
            <v>sharmake52@gmail.com</v>
          </cell>
          <cell r="H37" t="str">
            <v>9418051130,9816330911</v>
          </cell>
          <cell r="I37" t="str">
            <v>B-203-(Tower-B)</v>
          </cell>
          <cell r="J37">
            <v>5069205</v>
          </cell>
        </row>
        <row r="38">
          <cell r="D38" t="str">
            <v>M/s Tason Holdings Pvt Ltd</v>
          </cell>
          <cell r="E38" t="str">
            <v>CIN - U65100DL2007PTC164865</v>
          </cell>
          <cell r="F38" t="str">
            <v>11/11, West Patel Nagar, New Delhi</v>
          </cell>
          <cell r="G38" t="str">
            <v>sonalanand@gmail.com</v>
          </cell>
          <cell r="I38" t="str">
            <v>B-1602</v>
          </cell>
          <cell r="J38">
            <v>3865158</v>
          </cell>
        </row>
        <row r="39">
          <cell r="D39" t="str">
            <v>Tripta Agarwal &amp; Arvind Kumar Agarwal</v>
          </cell>
          <cell r="E39" t="str">
            <v>Tripta - AFUPA8555K, 406159363863Arvind - AAMPA7525N, 683385010659</v>
          </cell>
          <cell r="F39" t="str">
            <v>72/247A, Vinayak Path, Mansarovar, Jaipur</v>
          </cell>
          <cell r="G39" t="str">
            <v>arvind_agarwal1@hotmail.com</v>
          </cell>
          <cell r="H39">
            <v>9540293868</v>
          </cell>
          <cell r="I39" t="str">
            <v>E-1002</v>
          </cell>
          <cell r="J39">
            <v>7607300</v>
          </cell>
        </row>
        <row r="40">
          <cell r="D40" t="str">
            <v>Tarun Chawla &amp; Khushi Vats</v>
          </cell>
          <cell r="E40" t="str">
            <v>H.No. 59, Pocket F 26, Sector 7, Rohini, Delhi</v>
          </cell>
          <cell r="F40" t="str">
            <v>Khushi - 539853372515,Tarun - 744059603397</v>
          </cell>
          <cell r="G40" t="str">
            <v>suraj.vasta@gmail.com</v>
          </cell>
          <cell r="H40">
            <v>8130170444</v>
          </cell>
          <cell r="I40" t="str">
            <v>B-401</v>
          </cell>
          <cell r="J40">
            <v>5897417</v>
          </cell>
        </row>
        <row r="41">
          <cell r="D41" t="str">
            <v>Laxman Aggarwal</v>
          </cell>
          <cell r="E41" t="str">
            <v>F 47, Sham Nagar Near Tilak Nagar, New Delhi</v>
          </cell>
          <cell r="F41" t="str">
            <v>AAKPA0269M, 316436997688</v>
          </cell>
          <cell r="G41" t="str">
            <v>laxmanaggarwal11@gmail.com</v>
          </cell>
          <cell r="I41" t="str">
            <v>B-1201</v>
          </cell>
          <cell r="J41">
            <v>6129380</v>
          </cell>
        </row>
        <row r="42">
          <cell r="D42" t="str">
            <v>Kailash Kumari w/o Tulsi Dass Saluja</v>
          </cell>
          <cell r="E42" t="str">
            <v>H.No. 1219, Sector - 15, Part II, Gurugram</v>
          </cell>
          <cell r="F42" t="str">
            <v>Kailash - 364572470139,Tulsi - 499331003051</v>
          </cell>
          <cell r="G42" t="str">
            <v>tdsaluja@gmail.com</v>
          </cell>
          <cell r="H42">
            <v>9810047596</v>
          </cell>
          <cell r="I42" t="str">
            <v>B-1102</v>
          </cell>
          <cell r="J42">
            <v>6039531</v>
          </cell>
        </row>
        <row r="43">
          <cell r="D43" t="str">
            <v>Himanshu Shekhar</v>
          </cell>
          <cell r="E43" t="str">
            <v>306, Jayshree Complex, Kavi raman Path, Boring Road, Patna, Bihar</v>
          </cell>
          <cell r="F43" t="str">
            <v>AKGPS1059K</v>
          </cell>
          <cell r="G43" t="str">
            <v>hshekhar2@gmail.com</v>
          </cell>
          <cell r="H43">
            <v>9006805143</v>
          </cell>
          <cell r="I43" t="str">
            <v>D-701</v>
          </cell>
          <cell r="J43">
            <v>9045771</v>
          </cell>
        </row>
        <row r="44">
          <cell r="D44" t="str">
            <v>Mahesh Dutt Kala</v>
          </cell>
          <cell r="E44" t="str">
            <v>Flat No. 41, A1 Mantri Building, Building No. 1117, Way No. 3514, A1, Khuwair, Near A1 Manar Tower</v>
          </cell>
          <cell r="F44" t="str">
            <v>AHOPK8566E, 331455062462</v>
          </cell>
          <cell r="G44" t="str">
            <v>mdkala@gmail.com</v>
          </cell>
          <cell r="H44" t="str">
            <v>968-97749446,  968-96680533</v>
          </cell>
          <cell r="I44" t="str">
            <v>A-501</v>
          </cell>
          <cell r="J44">
            <v>8461825</v>
          </cell>
        </row>
        <row r="45">
          <cell r="D45" t="str">
            <v>Nini Nanda</v>
          </cell>
          <cell r="E45" t="str">
            <v>60, 1st floor, Sukhdev Vihar, New Delhi</v>
          </cell>
          <cell r="F45" t="str">
            <v>ADGPS8599B</v>
          </cell>
          <cell r="G45" t="str">
            <v>nininanda@yahoo.com</v>
          </cell>
          <cell r="I45" t="str">
            <v>F-1402</v>
          </cell>
          <cell r="J45">
            <v>46776402</v>
          </cell>
        </row>
        <row r="46">
          <cell r="D46" t="str">
            <v>Arun Kharb &amp; Sarita Sangwan</v>
          </cell>
          <cell r="E46" t="str">
            <v>Flat No. 164, Vijay Veer Awas (Kargil Appt.) sector 18 A, Dwarka, New Delhi</v>
          </cell>
          <cell r="F46" t="str">
            <v>Arun - BDEPK1080N, 417508437002,Sarita - BDOPS7905N</v>
          </cell>
          <cell r="G46" t="str">
            <v>arunkharb4@gmail.com</v>
          </cell>
          <cell r="H46" t="str">
            <v>7838750600, 9873925576</v>
          </cell>
          <cell r="I46" t="str">
            <v>A-003</v>
          </cell>
          <cell r="J46">
            <v>5851345</v>
          </cell>
        </row>
        <row r="47">
          <cell r="D47" t="str">
            <v>Amit Kumar</v>
          </cell>
          <cell r="E47" t="str">
            <v>VPO Chhudani, Tehsil Bahadurgarh, Distt Jhajjar, Haryana</v>
          </cell>
          <cell r="F47" t="str">
            <v>AUWPK5351J,268201600480</v>
          </cell>
          <cell r="G47" t="str">
            <v>AMITSEHWAGINLD@GMAIL.COM</v>
          </cell>
          <cell r="H47">
            <v>9992018505</v>
          </cell>
          <cell r="I47" t="str">
            <v>A-301</v>
          </cell>
          <cell r="J47">
            <v>6185901</v>
          </cell>
        </row>
        <row r="48">
          <cell r="D48" t="str">
            <v>Ravinder Aggarwal</v>
          </cell>
          <cell r="E48" t="str">
            <v>E-34, 1st Floor, East of Kailash, New Delhi</v>
          </cell>
          <cell r="F48" t="str">
            <v>AAKPA2247H, 633437231838</v>
          </cell>
          <cell r="G48" t="str">
            <v>ravinderaggarwal08@gmail.com</v>
          </cell>
          <cell r="I48" t="str">
            <v>B-1203</v>
          </cell>
          <cell r="J48">
            <v>5861468</v>
          </cell>
        </row>
        <row r="49">
          <cell r="D49" t="str">
            <v>Aqueel Ahmad</v>
          </cell>
          <cell r="E49" t="str">
            <v>S.S Industries, Jangal Garhi, Bye Pass Road, Aligarh, Uttar Pradesh</v>
          </cell>
          <cell r="F49" t="str">
            <v>AFTPA4274L, 599762939349</v>
          </cell>
          <cell r="G49" t="str">
            <v>aqueelahmad@gmail.com</v>
          </cell>
          <cell r="H49" t="str">
            <v>91-9719111448</v>
          </cell>
          <cell r="I49" t="str">
            <v>D-1402</v>
          </cell>
          <cell r="J49">
            <v>8032189</v>
          </cell>
        </row>
        <row r="50">
          <cell r="D50" t="str">
            <v>Deepali Chandhoke</v>
          </cell>
          <cell r="E50" t="str">
            <v>5-A, Factory Road, Krishna Nagar, Opp B-4/1876, Safdarjung Enclave, New Delhi</v>
          </cell>
          <cell r="F50" t="str">
            <v>Passport No. - J4762059</v>
          </cell>
          <cell r="G50" t="str">
            <v>deepali@luthra.com</v>
          </cell>
          <cell r="I50" t="str">
            <v>E-1701,-G-1401</v>
          </cell>
          <cell r="J50">
            <v>8966922.0199999996</v>
          </cell>
        </row>
        <row r="51">
          <cell r="D51" t="str">
            <v>Gaurav Bakshi</v>
          </cell>
          <cell r="E51" t="str">
            <v>E-4/24B, 2nd Floor, Model Town-I, New Delhi</v>
          </cell>
          <cell r="F51">
            <v>688361278681</v>
          </cell>
          <cell r="G51" t="str">
            <v>aayush@asa-partners.com</v>
          </cell>
          <cell r="I51" t="str">
            <v>B-103</v>
          </cell>
          <cell r="J51">
            <v>3506430</v>
          </cell>
        </row>
        <row r="52">
          <cell r="D52" t="str">
            <v>Sudhir Sharma</v>
          </cell>
          <cell r="E52" t="str">
            <v>B-19, Sector 44, Noida, UP</v>
          </cell>
          <cell r="F52">
            <v>490726528134</v>
          </cell>
          <cell r="G52" t="str">
            <v>ssharma@luthra.com</v>
          </cell>
          <cell r="I52" t="str">
            <v>G-702,-G-801</v>
          </cell>
          <cell r="J52">
            <v>10324940</v>
          </cell>
        </row>
        <row r="53">
          <cell r="D53" t="str">
            <v>Sonal Anand</v>
          </cell>
          <cell r="E53" t="str">
            <v>11/11, West Patel Nagar, New Delhi</v>
          </cell>
          <cell r="F53">
            <v>487937767324</v>
          </cell>
          <cell r="G53" t="str">
            <v>sonalanand99@gmail.com</v>
          </cell>
          <cell r="I53" t="str">
            <v>E-002</v>
          </cell>
          <cell r="J53">
            <v>4648021</v>
          </cell>
        </row>
        <row r="54">
          <cell r="D54" t="str">
            <v>Godawri Capital Private Limited</v>
          </cell>
          <cell r="E54" t="str">
            <v>422-B, World Trade Centre, Barakhamba Lane, New Delhi</v>
          </cell>
          <cell r="F54" t="str">
            <v>U74899DL1995PTC071574</v>
          </cell>
          <cell r="G54" t="str">
            <v>saurabhmittal@mcfs.co.in</v>
          </cell>
          <cell r="J54">
            <v>500000</v>
          </cell>
        </row>
        <row r="55">
          <cell r="D55" t="str">
            <v>Sawalka Autotech Pvt Ltd</v>
          </cell>
          <cell r="E55" t="str">
            <v>422-B, World Trade Centre, Barakhamba Lane, New Delhi</v>
          </cell>
          <cell r="F55" t="str">
            <v>U34300DL1998PTC094530</v>
          </cell>
          <cell r="G55" t="str">
            <v>saurabhmittal@mcfs.co.in</v>
          </cell>
          <cell r="J55">
            <v>600000</v>
          </cell>
        </row>
        <row r="56">
          <cell r="D56" t="str">
            <v>Mohammad Umer Ansari &amp; Shaban Parveen</v>
          </cell>
          <cell r="E56" t="str">
            <v>25615 Horizon Grove LN Katy, Texas, USA</v>
          </cell>
          <cell r="F56" t="str">
            <v>Passport No. - Z2695351Shabana - Z1808791</v>
          </cell>
          <cell r="G56" t="str">
            <v>umer_ansari@yahoo.co.uk</v>
          </cell>
          <cell r="I56" t="str">
            <v>A-901</v>
          </cell>
          <cell r="J56">
            <v>6172015</v>
          </cell>
        </row>
        <row r="57">
          <cell r="D57" t="str">
            <v>Jogesh Sahni/Monica Sahni</v>
          </cell>
          <cell r="E57" t="str">
            <v>322/14, Jacubpura, Gurgaon-122001, Haryana</v>
          </cell>
          <cell r="F57" t="str">
            <v>Jogesh Sahni-512779017896,(AADHAR)                               Monica Sahni-383632998847(AADHAR)</v>
          </cell>
          <cell r="G57" t="str">
            <v>jogeshsahni@rediffmail.com</v>
          </cell>
          <cell r="H57">
            <v>9810824725</v>
          </cell>
          <cell r="I57" t="str">
            <v>C-803</v>
          </cell>
          <cell r="J57">
            <v>4998109</v>
          </cell>
        </row>
        <row r="58">
          <cell r="D58" t="str">
            <v>Jag Pal Singh</v>
          </cell>
          <cell r="E58" t="str">
            <v>H.No.484, Sector 21, Panchkula(Haryana )</v>
          </cell>
          <cell r="F58" t="str">
            <v xml:space="preserve">PAN No.AALPK7327D Aadhar No. 499971043706      </v>
          </cell>
          <cell r="G58" t="str">
            <v>jpskharta@gmail.com</v>
          </cell>
          <cell r="H58">
            <v>8003597114</v>
          </cell>
          <cell r="I58" t="str">
            <v>B-402</v>
          </cell>
          <cell r="J58">
            <v>5115555</v>
          </cell>
        </row>
        <row r="59">
          <cell r="D59" t="str">
            <v>Mr. Ishwar Anand Yadav and Mrs. Suman Yadav</v>
          </cell>
          <cell r="E59" t="str">
            <v>158, Rampura, Near Mamchand Park DELHI</v>
          </cell>
          <cell r="F59" t="str">
            <v>PAN  Mr. Ishwar Anand Yadav-AABPY5146J PAN Mrs. Suman Yadav-AABPY5146J                  Aadhar No.Ishwar Anand Yadav-583936891437 Aadhar No.Mrs. Suman Yadav-214620986194</v>
          </cell>
          <cell r="H59" t="str">
            <v>011 27391158,           9999925222</v>
          </cell>
          <cell r="I59" t="str">
            <v>601-Tower-A</v>
          </cell>
          <cell r="J59">
            <v>7031366</v>
          </cell>
        </row>
        <row r="60">
          <cell r="D60" t="str">
            <v>Harpreet Singh Sethi,Narinder Singh Sethi</v>
          </cell>
          <cell r="E60" t="str">
            <v>J-11, Rajouri Garden,New Delhi, - 110027</v>
          </cell>
          <cell r="F60" t="str">
            <v>PAN ABAPS5712Q           Aadhar 338117363658</v>
          </cell>
          <cell r="H60">
            <v>9811132920</v>
          </cell>
          <cell r="I60" t="str">
            <v>C-503</v>
          </cell>
          <cell r="J60">
            <v>6041913</v>
          </cell>
        </row>
        <row r="61">
          <cell r="D61" t="str">
            <v xml:space="preserve">Gagan Agrawal and Ruchi Agrawal </v>
          </cell>
          <cell r="E61" t="str">
            <v>Shyamkunj,183-A,Ekta Marg, Western Avenue,Sanik Frams New Delhi, - 110062</v>
          </cell>
          <cell r="F61" t="str">
            <v>PAN- AAMPA7060L</v>
          </cell>
          <cell r="G61" t="str">
            <v>g.agrawal@shigan.net</v>
          </cell>
          <cell r="H61" t="str">
            <v>011 29552812,9818427007</v>
          </cell>
          <cell r="I61" t="str">
            <v>A-203</v>
          </cell>
          <cell r="J61">
            <v>6970524</v>
          </cell>
        </row>
        <row r="62">
          <cell r="D62" t="str">
            <v>Gopal Krishna and Asha Rani</v>
          </cell>
          <cell r="E62" t="str">
            <v>MIG 327, Lohia Nagar, Kankar Bagh,Patna,</v>
          </cell>
          <cell r="F62" t="str">
            <v>Pan Gopal Krishna AFYPK5011L  PAN Asha Rani AMVTR3843H</v>
          </cell>
          <cell r="G62" t="str">
            <v>kattarrahul@yahoo.co.in</v>
          </cell>
          <cell r="H62">
            <v>9431033052</v>
          </cell>
          <cell r="I62" t="str">
            <v>F-1503</v>
          </cell>
          <cell r="J62">
            <v>5100000</v>
          </cell>
        </row>
        <row r="63">
          <cell r="D63" t="str">
            <v>G.Thiagarajan &amp; T.Shanthi</v>
          </cell>
          <cell r="E63" t="str">
            <v xml:space="preserve">103 Poona Palace Aptmt 12th A Cross, 2nd Main.3rd Phase J.P.Nagar, Banglore </v>
          </cell>
          <cell r="F63" t="str">
            <v>G.Thiagarajan-ADNPP7163J, 476623802149  T.Shanthi DTBPS7786A,699570869984</v>
          </cell>
          <cell r="G63" t="str">
            <v>gthiagarajan2002@yahoo.co.ingopalthiagarajan@bata.co.in</v>
          </cell>
          <cell r="I63" t="str">
            <v>A-1002</v>
          </cell>
          <cell r="J63">
            <v>6922356</v>
          </cell>
        </row>
        <row r="64">
          <cell r="D64" t="str">
            <v>Divya Jindal</v>
          </cell>
          <cell r="E64" t="str">
            <v>Jindal Bhawan, B-3/275, Gali Telanga wali,Bhadra Sirsa, HARYANA</v>
          </cell>
          <cell r="F64">
            <v>951900338134</v>
          </cell>
          <cell r="G64" t="str">
            <v>jindaldivya89@gmail.com</v>
          </cell>
          <cell r="H64">
            <v>9811861440</v>
          </cell>
          <cell r="I64" t="str">
            <v>A-401</v>
          </cell>
          <cell r="J64">
            <v>6300000</v>
          </cell>
        </row>
        <row r="65">
          <cell r="D65" t="str">
            <v xml:space="preserve">Dinesh Kumar Jindal </v>
          </cell>
          <cell r="E65" t="str">
            <v>Jindal Bhawan B-3/275 gali Telanga wali, Bhadra Bazar, Sirsa(125055)Haryana.</v>
          </cell>
          <cell r="F65">
            <v>300874759608</v>
          </cell>
          <cell r="G65" t="str">
            <v>jindaldinesh@yahoo.co.in</v>
          </cell>
          <cell r="H65">
            <v>92155061003</v>
          </cell>
          <cell r="I65" t="str">
            <v>B-1401</v>
          </cell>
          <cell r="J65">
            <v>5485310</v>
          </cell>
        </row>
        <row r="66">
          <cell r="D66" t="str">
            <v xml:space="preserve">Devinder Kumar Gupta and Usha Gupta </v>
          </cell>
          <cell r="E66" t="str">
            <v>WZ-106/80 Rajori Garden Extension Delhi.</v>
          </cell>
          <cell r="F66" t="str">
            <v>Devinder-670824399130, AAFPG2676K Usha- 355043085439, AAFPG2679G</v>
          </cell>
          <cell r="I66" t="str">
            <v>E-1402</v>
          </cell>
          <cell r="J66">
            <v>6523458</v>
          </cell>
        </row>
        <row r="67">
          <cell r="D67" t="str">
            <v>Akhilesh Kumar Gupta and Ruchi Gupta</v>
          </cell>
          <cell r="E67" t="str">
            <v>A-16/4, Vasant Vihar, New Delhi-110057</v>
          </cell>
          <cell r="F67" t="str">
            <v>PAN Akhilesh-AAHPG7455N, Ruchi-AAHPG7456R</v>
          </cell>
          <cell r="G67" t="str">
            <v>akhilesh@llca.net</v>
          </cell>
          <cell r="I67" t="str">
            <v>F-1702</v>
          </cell>
          <cell r="J67">
            <v>6822150</v>
          </cell>
        </row>
        <row r="68">
          <cell r="D68" t="str">
            <v>Amit Krishan Luthra &amp; Praketa Luthra</v>
          </cell>
          <cell r="E68" t="str">
            <v>A-16/9, Vasant Vihar, New Delhi-110057</v>
          </cell>
          <cell r="F68" t="str">
            <v>Amit -AAAPL0055A PRAKETA-AACPL0526E</v>
          </cell>
          <cell r="G68" t="str">
            <v>ALUTHRA@LLCA.NET</v>
          </cell>
          <cell r="I68" t="str">
            <v>F-1802</v>
          </cell>
          <cell r="J68">
            <v>8134306</v>
          </cell>
        </row>
        <row r="69">
          <cell r="D69" t="str">
            <v>Adarsh Kumar</v>
          </cell>
          <cell r="E69" t="str">
            <v>C/O Sanjeev Bansal, Flat No. 1303, Tower 17, Lotus Boulevard,Gaja Road, Sec 100, Noida-201301</v>
          </cell>
          <cell r="F69" t="str">
            <v>AADHAR-714551439121 PAN-AJJPK5474C</v>
          </cell>
          <cell r="G69" t="str">
            <v>adarshkumar77@yahoo.com</v>
          </cell>
          <cell r="H69">
            <v>9999860030</v>
          </cell>
          <cell r="I69" t="str">
            <v>A-503</v>
          </cell>
          <cell r="J69">
            <v>6343356.3800000008</v>
          </cell>
        </row>
        <row r="70">
          <cell r="D70" t="str">
            <v xml:space="preserve">Anuradha Kapoor </v>
          </cell>
          <cell r="E70" t="str">
            <v>K-46 JANGPURA EXTENSION,New Delhi, NEW DELHI- 110014</v>
          </cell>
          <cell r="F70" t="str">
            <v>PAN-AAKPK0441P AADHAR 441973261454</v>
          </cell>
          <cell r="G70" t="str">
            <v>rk95000@yahoo.com</v>
          </cell>
          <cell r="H70">
            <v>9313757700</v>
          </cell>
          <cell r="I70" t="str">
            <v>C-1401</v>
          </cell>
          <cell r="J70">
            <v>5766891.71</v>
          </cell>
        </row>
        <row r="71">
          <cell r="D71" t="str">
            <v>Arvind Kochar</v>
          </cell>
          <cell r="E71" t="str">
            <v xml:space="preserve">W1B/11, Wellington Estate, DLF Phase-5 Gurgaon </v>
          </cell>
          <cell r="F71" t="str">
            <v>PAN-AAJPK4812FAADHAR 724618931983</v>
          </cell>
          <cell r="I71" t="str">
            <v>C-1002</v>
          </cell>
          <cell r="J71">
            <v>5165139</v>
          </cell>
        </row>
        <row r="72">
          <cell r="D72" t="str">
            <v>Anurag Upadhyaya &amp; Bhavna Upadhyaya</v>
          </cell>
          <cell r="E72" t="str">
            <v>902, A3, Tulip White,Sector 69, Gurgaon</v>
          </cell>
          <cell r="F72" t="str">
            <v>Anurag-839060215283,AAPPU0485N Bhavna-557452420298,ABVPU8768K</v>
          </cell>
          <cell r="G72" t="str">
            <v>anurag@yahoo.com</v>
          </cell>
          <cell r="H72">
            <v>9667927014</v>
          </cell>
          <cell r="I72" t="str">
            <v>D-903</v>
          </cell>
          <cell r="J72">
            <v>6332655</v>
          </cell>
        </row>
        <row r="73">
          <cell r="D73" t="str">
            <v>Amandeep Sachdeva</v>
          </cell>
          <cell r="E73" t="str">
            <v>A-125,2ND FLOOR, South City-2, Sector  49, Gurgaon-122018</v>
          </cell>
          <cell r="F73">
            <v>928401045317</v>
          </cell>
          <cell r="G73" t="str">
            <v>aman_deep05@yahoo.com</v>
          </cell>
          <cell r="H73">
            <v>9999973291</v>
          </cell>
          <cell r="I73" t="str">
            <v>B-1402</v>
          </cell>
          <cell r="J73">
            <v>6047061</v>
          </cell>
        </row>
        <row r="74">
          <cell r="D74" t="str">
            <v xml:space="preserve">Ashish Bhatia &amp; Manila Bhatia </v>
          </cell>
          <cell r="E74" t="str">
            <v>B-402, Global Co-operative Society, GH-75, Sector-56, Gurgaon-122011</v>
          </cell>
          <cell r="F74" t="str">
            <v>Ashish 626990058338  Manila 347357226387</v>
          </cell>
          <cell r="G74" t="str">
            <v>mwabhatia@gmail.com bhatiamanila@gmail.com</v>
          </cell>
          <cell r="H74" t="str">
            <v>9999713767 &amp; 9910145793</v>
          </cell>
          <cell r="J74">
            <v>4992228</v>
          </cell>
        </row>
        <row r="75">
          <cell r="D75" t="str">
            <v xml:space="preserve">Sunil Arora </v>
          </cell>
          <cell r="E75" t="str">
            <v>Plot No.352, Sector 37,Udyog Vihar, Gurugram -122001</v>
          </cell>
          <cell r="F75" t="str">
            <v>AADHAR-543195261900</v>
          </cell>
          <cell r="G75" t="str">
            <v>aayush@asa-partners.com</v>
          </cell>
          <cell r="H75">
            <v>9810066070</v>
          </cell>
          <cell r="I75" t="str">
            <v>B-502</v>
          </cell>
          <cell r="J75">
            <v>4567639</v>
          </cell>
        </row>
        <row r="76">
          <cell r="D76" t="str">
            <v>Sunita Bakshi</v>
          </cell>
          <cell r="E76" t="str">
            <v>1301, IC-3, Essel Tower,M. G. Road,Gurgaon, HARYANA- 122002</v>
          </cell>
          <cell r="F76" t="str">
            <v>798336763128, AETPB4113N</v>
          </cell>
          <cell r="H76" t="str">
            <v>0124 4385950,9810553377</v>
          </cell>
          <cell r="I76" t="str">
            <v>C-303</v>
          </cell>
          <cell r="J76">
            <v>5209986</v>
          </cell>
        </row>
        <row r="77">
          <cell r="D77" t="str">
            <v>Sunil Trehun and V.K. Trehun</v>
          </cell>
          <cell r="E77" t="str">
            <v>A 8/8, DLF City, Phase -1,Gurgaon,</v>
          </cell>
          <cell r="F77" t="str">
            <v>Sunil-759939375765 Tehrun- 446020862448</v>
          </cell>
          <cell r="G77" t="str">
            <v>strehun@hotmail.com</v>
          </cell>
          <cell r="H77">
            <v>9911538280</v>
          </cell>
          <cell r="I77" t="str">
            <v>A-1602</v>
          </cell>
          <cell r="J77">
            <v>4998113</v>
          </cell>
        </row>
        <row r="78">
          <cell r="D78" t="str">
            <v>Shishir Agrawal and Ankita Agarwal</v>
          </cell>
          <cell r="E78" t="str">
            <v>Shyam Kunj, 183-A, Ekta Marg, Western Avenue, Sainik Farms, Western Avenue, Sainik Farms. New Delhi-110062</v>
          </cell>
          <cell r="F78" t="str">
            <v>Shishir -AEQPA9549C, 372111194311</v>
          </cell>
          <cell r="G78" t="str">
            <v>s.agrawal@shigan.net</v>
          </cell>
          <cell r="I78" t="str">
            <v>A-303</v>
          </cell>
          <cell r="J78">
            <v>6922234</v>
          </cell>
        </row>
        <row r="79">
          <cell r="D79" t="str">
            <v>Shailja Sharma</v>
          </cell>
          <cell r="E79" t="str">
            <v>H.No.40, Prime Miniter's Group Housing Society, Krishna Park, Vikas Puri, New Delhi-110018</v>
          </cell>
          <cell r="F79" t="str">
            <v>AADHAR-285179820032 PAN -CYHPS0004B</v>
          </cell>
          <cell r="I79" t="str">
            <v>D-902</v>
          </cell>
          <cell r="J79">
            <v>4530247</v>
          </cell>
        </row>
        <row r="80">
          <cell r="D80" t="str">
            <v>Shalini Bawa Anand/Vishal Anand</v>
          </cell>
          <cell r="E80" t="str">
            <v>188/B, New Colony, Gurgaon 122004 Haryana</v>
          </cell>
          <cell r="F80" t="str">
            <v>Shalini -338395859408 Vishal-295118663846</v>
          </cell>
          <cell r="G80" t="str">
            <v>vishal_0509@yahoo.com</v>
          </cell>
          <cell r="I80" t="str">
            <v>A-701</v>
          </cell>
          <cell r="J80">
            <v>7931422</v>
          </cell>
        </row>
        <row r="81">
          <cell r="D81" t="str">
            <v>Shruti Sud</v>
          </cell>
          <cell r="E81" t="str">
            <v>L-5 Green Park Main, New Delhi-110016</v>
          </cell>
          <cell r="F81" t="str">
            <v>AFQPB7910R</v>
          </cell>
          <cell r="G81" t="str">
            <v>ssud1@hotmail.com</v>
          </cell>
          <cell r="I81" t="str">
            <v>F-403</v>
          </cell>
          <cell r="J81">
            <v>5556305</v>
          </cell>
        </row>
        <row r="82">
          <cell r="D82" t="str">
            <v>Form C</v>
          </cell>
        </row>
        <row r="83">
          <cell r="D83" t="str">
            <v xml:space="preserve">Sangeeta Arya &amp;Yogesh Arya </v>
          </cell>
          <cell r="E83" t="str">
            <v>JG 111/64-A, Vikaspuri, New Delhi</v>
          </cell>
          <cell r="F83" t="str">
            <v>Customer ID No.APL/R5/2011-12/9027</v>
          </cell>
          <cell r="G83" t="str">
            <v>sangeeta@asplabsolution.com,yogesharya2010@gmail.com</v>
          </cell>
          <cell r="I83" t="str">
            <v>B-501</v>
          </cell>
          <cell r="J83">
            <v>5686550</v>
          </cell>
        </row>
        <row r="84">
          <cell r="D84" t="str">
            <v>Cristina Patnaik</v>
          </cell>
          <cell r="E84" t="str">
            <v>C-34, West End, New Delhi-110021</v>
          </cell>
          <cell r="F84" t="str">
            <v>AAAPP2813N</v>
          </cell>
          <cell r="G84" t="str">
            <v>cristina_patnaik@hotmail.com</v>
          </cell>
          <cell r="I84" t="str">
            <v>G-1002</v>
          </cell>
          <cell r="J84">
            <v>6194412</v>
          </cell>
        </row>
        <row r="85">
          <cell r="D85" t="str">
            <v>Maya Patnaik</v>
          </cell>
          <cell r="E85" t="str">
            <v>C-34, West End, New Delhi-110021</v>
          </cell>
          <cell r="F85" t="str">
            <v>AIOPP0150A</v>
          </cell>
          <cell r="G85" t="str">
            <v>mayapat@gmail.com</v>
          </cell>
          <cell r="I85" t="str">
            <v>A-602</v>
          </cell>
          <cell r="J85">
            <v>1332125</v>
          </cell>
        </row>
        <row r="86">
          <cell r="D86" t="str">
            <v>Priyanka Jain</v>
          </cell>
          <cell r="E86" t="str">
            <v>H.No.91,Sector 40, Gurugram 122001 haryana</v>
          </cell>
          <cell r="F86" t="str">
            <v>AIQPJ3592G,341651033291</v>
          </cell>
          <cell r="G86" t="str">
            <v>adv.gjain@gmailcom</v>
          </cell>
          <cell r="I86" t="str">
            <v>D-1403</v>
          </cell>
          <cell r="J86">
            <v>5824079</v>
          </cell>
        </row>
        <row r="87">
          <cell r="D87" t="str">
            <v xml:space="preserve">Himanshu Aggarwal </v>
          </cell>
          <cell r="E87" t="str">
            <v>B-3, 801 World SPA West Sector 30-31 Gurgaon</v>
          </cell>
          <cell r="F87" t="str">
            <v>AAKPA0718P, 579173364364</v>
          </cell>
          <cell r="G87" t="str">
            <v>himaggarwal@hotmail.com</v>
          </cell>
          <cell r="H87">
            <v>9810023212</v>
          </cell>
          <cell r="I87" t="str">
            <v>C-1503</v>
          </cell>
          <cell r="J87">
            <v>6056546.5999999996</v>
          </cell>
        </row>
        <row r="88">
          <cell r="D88" t="str">
            <v>Sandeep Maurya</v>
          </cell>
          <cell r="E88" t="str">
            <v>1311, Sutton IslandDr Deland Florida USA 032724</v>
          </cell>
          <cell r="F88" t="str">
            <v>ALRPM9978M</v>
          </cell>
          <cell r="G88" t="str">
            <v>sahajvineet@gmail.com</v>
          </cell>
          <cell r="I88" t="str">
            <v>G-103</v>
          </cell>
          <cell r="J88">
            <v>13375494</v>
          </cell>
        </row>
        <row r="89">
          <cell r="D89" t="str">
            <v>Sumeet Dhiman &amp; Vineeta Dhiman</v>
          </cell>
          <cell r="E89" t="str">
            <v>Not mentioned</v>
          </cell>
          <cell r="F89" t="str">
            <v>Sumit-999853565793, Vineeta-544789949087</v>
          </cell>
          <cell r="G89" t="str">
            <v>sumit.dhiman67@gmail.com</v>
          </cell>
          <cell r="I89" t="str">
            <v>C-1103</v>
          </cell>
          <cell r="J89">
            <v>5207616</v>
          </cell>
        </row>
        <row r="90">
          <cell r="D90" t="str">
            <v xml:space="preserve">Poonam Munjal and Prem Munjal </v>
          </cell>
          <cell r="E90" t="str">
            <v>D-11/GF, Block D, Amar colony, lajpat nagar,-4 new delhi</v>
          </cell>
          <cell r="G90" t="str">
            <v>pmunjal1@airtelmail.in</v>
          </cell>
          <cell r="J90">
            <v>5144000</v>
          </cell>
        </row>
        <row r="91">
          <cell r="D91" t="str">
            <v>Ankit Goel and Deepali Goel</v>
          </cell>
          <cell r="E91" t="str">
            <v xml:space="preserve">A-165, Chattarpur Enclave, Phase-II, New Delhi, </v>
          </cell>
          <cell r="F91" t="str">
            <v>Passport No.Z3671938,P1959590</v>
          </cell>
          <cell r="G91" t="str">
            <v>ankit.g78@gmail.com</v>
          </cell>
          <cell r="J91">
            <v>5878153</v>
          </cell>
        </row>
        <row r="92">
          <cell r="D92" t="str">
            <v>Rajesh Jain</v>
          </cell>
          <cell r="E92" t="str">
            <v>P-22, Green Park Extension (Ground Floor)new Delhi</v>
          </cell>
          <cell r="F92" t="str">
            <v>AADHAR-639262574402</v>
          </cell>
          <cell r="G92" t="str">
            <v>rjain2k@hotmail.com</v>
          </cell>
          <cell r="I92" t="str">
            <v>D-803</v>
          </cell>
          <cell r="J92">
            <v>8173038</v>
          </cell>
        </row>
        <row r="93">
          <cell r="D93" t="str">
            <v>Sanjay Sehgal</v>
          </cell>
          <cell r="E93" t="str">
            <v>Flat No.SKA 115 Vista Indirapurum Plaot No.Ghaziabad UP 201010</v>
          </cell>
          <cell r="F93" t="str">
            <v>APFPK2148M</v>
          </cell>
          <cell r="G93" t="str">
            <v>sahajvineet@gmail.com</v>
          </cell>
          <cell r="I93" t="str">
            <v>A-1803</v>
          </cell>
          <cell r="J93">
            <v>9177121</v>
          </cell>
        </row>
        <row r="94">
          <cell r="D94" t="str">
            <v>Dinesh Upadhyay</v>
          </cell>
          <cell r="E94" t="str">
            <v>B-254M, Florence Marvel, Sushant Lok Phase 3, Sector 57, Gurugram, Haryana-122003</v>
          </cell>
          <cell r="G94" t="str">
            <v>dinesh1u@yahoo.co.in</v>
          </cell>
          <cell r="I94" t="str">
            <v>C-903</v>
          </cell>
          <cell r="J94">
            <v>4999580</v>
          </cell>
        </row>
        <row r="95">
          <cell r="D95" t="str">
            <v xml:space="preserve">Mallika Batra and Charanjeev Batra </v>
          </cell>
          <cell r="E95" t="str">
            <v>36/4, East Patel Nagar, New Delhi</v>
          </cell>
          <cell r="F95" t="str">
            <v>MALLIKA-365966222223 , Charanjeev-491137715118</v>
          </cell>
          <cell r="G95" t="str">
            <v>Cbatra.bsa@bsa.co.in</v>
          </cell>
          <cell r="I95" t="str">
            <v>G-501</v>
          </cell>
          <cell r="J95">
            <v>9971901</v>
          </cell>
        </row>
        <row r="96">
          <cell r="D96" t="str">
            <v>Sanjay Jain &amp; Richa Jain</v>
          </cell>
          <cell r="E96" t="str">
            <v>Flat 6 A Tower 6, Central Park 2, Sector 48, Sohna Road, Gurgaon 122018</v>
          </cell>
          <cell r="F96" t="str">
            <v>SANJAY-ADBPJ7190A, RICHA-APXPJ3492F</v>
          </cell>
          <cell r="G96" t="str">
            <v>sanjayjainjbp@gmail.com</v>
          </cell>
          <cell r="H96">
            <v>7838959562</v>
          </cell>
          <cell r="I96" t="str">
            <v>E-1603</v>
          </cell>
          <cell r="J96">
            <v>7888764</v>
          </cell>
        </row>
        <row r="97">
          <cell r="D97" t="str">
            <v>Aayush Mattoo</v>
          </cell>
          <cell r="E97" t="str">
            <v xml:space="preserve">932,sector 31, Gurgaon </v>
          </cell>
          <cell r="F97" t="str">
            <v>BQDPM9495D</v>
          </cell>
          <cell r="G97" t="str">
            <v>mattoo456@yahoo.com</v>
          </cell>
          <cell r="J97">
            <v>7698055</v>
          </cell>
        </row>
        <row r="98">
          <cell r="D98" t="str">
            <v>Neeru Bansal</v>
          </cell>
          <cell r="E98" t="str">
            <v xml:space="preserve">D-401, C-58/24, STELLER PARK APTMT, Sector 62, Noida </v>
          </cell>
          <cell r="F98" t="str">
            <v>AGGPB9484P</v>
          </cell>
          <cell r="G98" t="str">
            <v>bansalneeru@hotmail.com</v>
          </cell>
          <cell r="J98">
            <v>10517618</v>
          </cell>
        </row>
        <row r="99">
          <cell r="D99" t="str">
            <v>CDR Ajit Singh Sethi</v>
          </cell>
          <cell r="E99" t="str">
            <v>B 5/133, Safdarjung Enclave, New Delhi</v>
          </cell>
          <cell r="F99" t="str">
            <v>aadhar 641499056650</v>
          </cell>
          <cell r="G99" t="str">
            <v>sthiajit@hotmail.com</v>
          </cell>
          <cell r="I99" t="str">
            <v>C-703</v>
          </cell>
          <cell r="J99">
            <v>5349280</v>
          </cell>
        </row>
        <row r="100">
          <cell r="D100" t="str">
            <v>Santokh Singh Enterprises Pvt Ltd(Lt.Gen.Surjit Singh Sethi, MD of the company)</v>
          </cell>
          <cell r="E100" t="str">
            <v>B-5/133 Safdarjung Enclave.</v>
          </cell>
          <cell r="F100" t="str">
            <v xml:space="preserve">CIN U45201DL199PTC087084 </v>
          </cell>
          <cell r="G100" t="str">
            <v>gen_sethi@yahoo.com</v>
          </cell>
          <cell r="I100" t="str">
            <v>C-702</v>
          </cell>
          <cell r="J100">
            <v>5332218</v>
          </cell>
        </row>
        <row r="101">
          <cell r="D101" t="str">
            <v>Sumit Ginglani</v>
          </cell>
          <cell r="E101" t="str">
            <v>C-3/166, 2ND FLOOR,Janakpuri, New Delhi.</v>
          </cell>
          <cell r="F101" t="str">
            <v>Customer ID No.APL/R5/2011-12/9107</v>
          </cell>
          <cell r="G101" t="str">
            <v>s.p.ginglani@gmail.com</v>
          </cell>
          <cell r="I101" t="str">
            <v>A-1403</v>
          </cell>
          <cell r="J101">
            <v>5496616</v>
          </cell>
        </row>
        <row r="102">
          <cell r="D102" t="str">
            <v>Manoj Rajpal &amp; Nisha Rajpal</v>
          </cell>
          <cell r="E102" t="str">
            <v>Purva Venezia, R-302,Yelahanka New Town, Bangalore-560064</v>
          </cell>
          <cell r="F102" t="str">
            <v>Customer id:AR-9034</v>
          </cell>
          <cell r="G102" t="str">
            <v>rajpalmanoj69@gmail.com</v>
          </cell>
          <cell r="I102" t="str">
            <v>F-703</v>
          </cell>
          <cell r="J102">
            <v>6313635</v>
          </cell>
        </row>
        <row r="103">
          <cell r="D103" t="str">
            <v>Babulal Swami &amp; Kanta devi</v>
          </cell>
          <cell r="E103" t="str">
            <v>H.No.940, sector 46 distt.gurugram(haryana)</v>
          </cell>
          <cell r="F103" t="str">
            <v>BABULAL-AYEPS2596R,Kanta-AJRPD0789K</v>
          </cell>
          <cell r="G103" t="str">
            <v>blswami66@gmail.com</v>
          </cell>
          <cell r="I103" t="str">
            <v>B-202</v>
          </cell>
          <cell r="J103">
            <v>5947060</v>
          </cell>
        </row>
        <row r="104">
          <cell r="D104" t="str">
            <v>Veni Rastogi Gupta</v>
          </cell>
          <cell r="E104" t="str">
            <v>DD-21 Kalkaji, New Delhi-110019</v>
          </cell>
          <cell r="G104" t="str">
            <v>venirgupta@gmail.com</v>
          </cell>
          <cell r="H104" t="str">
            <v>23313158/23314137</v>
          </cell>
          <cell r="I104" t="str">
            <v>E-1102</v>
          </cell>
          <cell r="J104">
            <v>7692364</v>
          </cell>
        </row>
        <row r="105">
          <cell r="D105" t="str">
            <v xml:space="preserve">Sandeep Garg,Ranjana </v>
          </cell>
          <cell r="E105" t="str">
            <v>D-168, Pundrik Vihar, Sraswati Vihar, Delhi</v>
          </cell>
          <cell r="F105" t="str">
            <v>Sandeep-AAJPG5794N, Ranjana-AHRPR4424P</v>
          </cell>
          <cell r="G105" t="str">
            <v>sg1garg@yahoo.co.uk</v>
          </cell>
          <cell r="I105" t="str">
            <v>B-1001</v>
          </cell>
          <cell r="J105">
            <v>5683386</v>
          </cell>
        </row>
        <row r="106">
          <cell r="D106" t="str">
            <v>Amit Gupta &amp; Daksh Goyal</v>
          </cell>
          <cell r="F106" t="str">
            <v>Amit-982519585291,Daksh-600638485494</v>
          </cell>
          <cell r="G106" t="str">
            <v>daksh_goyal@yahoo.com</v>
          </cell>
          <cell r="I106" t="str">
            <v>C-202</v>
          </cell>
          <cell r="J106">
            <v>4913942</v>
          </cell>
        </row>
        <row r="107">
          <cell r="D107" t="str">
            <v>Abhishek Dhingra,Kiran Dhingra</v>
          </cell>
          <cell r="E107" t="str">
            <v>N-106,2nd floor,south city, gurgaon</v>
          </cell>
          <cell r="F107" t="str">
            <v>Abhishek-AQUPD304IN,271882078190KIRAN-AAMPD3367M,640266968322</v>
          </cell>
          <cell r="G107" t="str">
            <v>abhishek.dhingra@hotmail.com</v>
          </cell>
          <cell r="H107">
            <v>9990056049</v>
          </cell>
          <cell r="J107">
            <v>6258159</v>
          </cell>
        </row>
        <row r="108">
          <cell r="D108" t="str">
            <v>Shikha Trehan, kumar trehan</v>
          </cell>
          <cell r="E108" t="str">
            <v>H.No.1232, Rajinder Nagar, Street No.4, Civil Lines,ludhiana-141001</v>
          </cell>
          <cell r="F108" t="str">
            <v>Shikha-ALVPK2281K,486197491158</v>
          </cell>
          <cell r="G108" t="str">
            <v>vinod.trehan@yahoo.com</v>
          </cell>
          <cell r="J108">
            <v>5701636</v>
          </cell>
        </row>
        <row r="109">
          <cell r="D109" t="str">
            <v>Anita yadav &amp; Dhanwanti devi</v>
          </cell>
          <cell r="E109" t="str">
            <v>H.No. C-144, Mayfield Garden, Sector 50, Gurugram</v>
          </cell>
          <cell r="G109" t="str">
            <v>amarjeet74@gmail.com</v>
          </cell>
          <cell r="H109" t="str">
            <v>9810466136</v>
          </cell>
          <cell r="I109" t="str">
            <v>B-002</v>
          </cell>
          <cell r="J109">
            <v>5990472</v>
          </cell>
        </row>
        <row r="110">
          <cell r="D110" t="str">
            <v>Bina Ramani</v>
          </cell>
          <cell r="E110" t="str">
            <v>234, Devighar, western marg,next to garden of five sense behind saket metro, new delhi</v>
          </cell>
          <cell r="F110" t="str">
            <v>CUST ID-AR-9115</v>
          </cell>
          <cell r="G110" t="str">
            <v>binaramani17@yahoo.co</v>
          </cell>
          <cell r="J110">
            <v>5999242</v>
          </cell>
        </row>
        <row r="111">
          <cell r="D111" t="str">
            <v>Kalpana</v>
          </cell>
          <cell r="E111" t="str">
            <v>Flat no.94 HEWO Aptmt Sector 15 Part 2, Gurgaon</v>
          </cell>
          <cell r="F111" t="str">
            <v>BYYPK4028H, 642772054523</v>
          </cell>
          <cell r="G111" t="str">
            <v>shamsher.54singh@gmail.com</v>
          </cell>
          <cell r="I111" t="str">
            <v>A-1203</v>
          </cell>
          <cell r="J111">
            <v>6914955</v>
          </cell>
        </row>
        <row r="112">
          <cell r="D112" t="str">
            <v>Golden Realtors Private Limited</v>
          </cell>
          <cell r="E112" t="str">
            <v>Building No.19-20, Central Market, West Punjabi Bagh, New Delhi</v>
          </cell>
          <cell r="I112" t="str">
            <v>A-702, G-1103, G-1102, G-1201, B-902</v>
          </cell>
          <cell r="J112">
            <v>48000097</v>
          </cell>
        </row>
        <row r="113">
          <cell r="D113" t="str">
            <v>Manisha Sachdeva &amp; Sabrina Sachdeva</v>
          </cell>
          <cell r="F113" t="str">
            <v>Manisha-BGLPS882G SABRINA-BHIPS055H</v>
          </cell>
          <cell r="G113" t="str">
            <v>tarun_sachs@hotmail.com</v>
          </cell>
          <cell r="I113" t="str">
            <v>Flat  B-1702</v>
          </cell>
          <cell r="J113">
            <v>7022600</v>
          </cell>
        </row>
        <row r="114">
          <cell r="D114" t="str">
            <v>SANJAY KUMAR</v>
          </cell>
          <cell r="E114" t="str">
            <v>C-103, Octacrest, Lokhandwala Township, Kandivali East, Mumabi-400101</v>
          </cell>
          <cell r="F114" t="str">
            <v>AADHAR-380664215327</v>
          </cell>
          <cell r="I114" t="str">
            <v>G-1202</v>
          </cell>
          <cell r="J114">
            <v>8405683</v>
          </cell>
        </row>
        <row r="115">
          <cell r="D115" t="str">
            <v>TILAKRAJ GANGA RAM BAHRI</v>
          </cell>
          <cell r="G115" t="str">
            <v>TILAKRAJBAHRI@YAHOO.CO.IN</v>
          </cell>
          <cell r="I115" t="str">
            <v>f-902</v>
          </cell>
          <cell r="J115">
            <v>6809280</v>
          </cell>
        </row>
        <row r="116">
          <cell r="D116" t="str">
            <v>TILAKRAJ GANGA RAM BAHRI</v>
          </cell>
          <cell r="G116" t="str">
            <v>TILAKRAJBAHRI@YAHOO.CO.IN</v>
          </cell>
          <cell r="I116" t="str">
            <v>f-903</v>
          </cell>
          <cell r="J116">
            <v>6809280</v>
          </cell>
        </row>
        <row r="117">
          <cell r="D117" t="str">
            <v xml:space="preserve">VIPUL SHARMA, ANITA SHARMA </v>
          </cell>
          <cell r="E117" t="str">
            <v xml:space="preserve">Flat no.301, Block A,Park View city-2 Sohna Road,Sector 49, Gurgaon </v>
          </cell>
          <cell r="F117" t="str">
            <v>VIPUL  -AGCPS6829B,577464072683 ANITA-ATHPS5789E,439310865060</v>
          </cell>
          <cell r="G117" t="str">
            <v>sharmavipul@huawei.comsharma_vip@yahoo.com</v>
          </cell>
          <cell r="H117">
            <v>7503117979</v>
          </cell>
          <cell r="I117" t="str">
            <v>F-602</v>
          </cell>
          <cell r="J117">
            <v>6518961</v>
          </cell>
        </row>
        <row r="118">
          <cell r="D118" t="str">
            <v>SANJIV KOCHAR</v>
          </cell>
          <cell r="E118" t="str">
            <v>plot no.8,AZAD NAGAR, 1ST ROAD, JUHU SCHEME,VILE PARLE WEST, MUMBAI</v>
          </cell>
          <cell r="G118" t="str">
            <v>KOCHHARSANJIV @GMAIL.COM</v>
          </cell>
          <cell r="I118" t="str">
            <v>F-803</v>
          </cell>
          <cell r="J118">
            <v>14523733.119999999</v>
          </cell>
        </row>
        <row r="119">
          <cell r="D119" t="str">
            <v>Naresh Tilakraj Bahri</v>
          </cell>
          <cell r="E119" t="str">
            <v>299-C,TILAK NIWAS, 5TH ROAD, CENTRAL AVENUE ROAD, CHEMBUR, MUMBAI</v>
          </cell>
          <cell r="G119" t="str">
            <v>ACCTSPLAZA@THEHOTELPLAZA.COM</v>
          </cell>
          <cell r="I119" t="str">
            <v>F-802</v>
          </cell>
          <cell r="J119">
            <v>6809280</v>
          </cell>
        </row>
        <row r="120">
          <cell r="D120" t="str">
            <v>KUSUM GARG/JAI NARAIN GARG</v>
          </cell>
          <cell r="E120" t="str">
            <v>103,TOWER-8 PARSVNATH GREEN VILLE SECTOR 48 SOHNA ROAD GURUGRAM</v>
          </cell>
          <cell r="F120" t="str">
            <v>KUSUM-237291007648 JAI-352282638574</v>
          </cell>
          <cell r="G120" t="str">
            <v>jngarg@gmail.com</v>
          </cell>
          <cell r="I120" t="str">
            <v>F-202</v>
          </cell>
          <cell r="J120">
            <v>6598999</v>
          </cell>
        </row>
        <row r="121">
          <cell r="D121" t="str">
            <v>RAHUL NAHAR</v>
          </cell>
          <cell r="E121" t="str">
            <v>J3/232 DDA FLATS KALKAJI NEW DELHI</v>
          </cell>
          <cell r="F121" t="str">
            <v>ADDPN7149R/532491059031</v>
          </cell>
          <cell r="G121" t="str">
            <v>ar.rahulnahar@gmail.com</v>
          </cell>
          <cell r="H121">
            <v>9818031654</v>
          </cell>
          <cell r="I121" t="str">
            <v>C-1501</v>
          </cell>
          <cell r="J121">
            <v>5987295</v>
          </cell>
        </row>
        <row r="122">
          <cell r="D122" t="str">
            <v>Namita Mahajan</v>
          </cell>
          <cell r="E122" t="str">
            <v>88 Uday Park khel gaon road new delhi</v>
          </cell>
          <cell r="F122" t="str">
            <v>namita-362183978781</v>
          </cell>
          <cell r="G122" t="str">
            <v>nmahajan1979@gmail.com</v>
          </cell>
          <cell r="H122">
            <v>9811199367</v>
          </cell>
          <cell r="J122">
            <v>3405887</v>
          </cell>
        </row>
        <row r="123">
          <cell r="D123" t="str">
            <v>Sachin Chhabra</v>
          </cell>
          <cell r="E123" t="str">
            <v>B-308 Plot No. 36C Park new apptt. Sector 56 Gurgaon</v>
          </cell>
          <cell r="G123" t="str">
            <v>sumitsun2000@gmail.com</v>
          </cell>
          <cell r="I123" t="str">
            <v>B-603</v>
          </cell>
          <cell r="J123">
            <v>6047062</v>
          </cell>
        </row>
        <row r="124">
          <cell r="D124" t="str">
            <v>Shailesh Kant Sharma  / Gorav Sharma</v>
          </cell>
          <cell r="E124" t="str">
            <v>B-73 Hilansh Apartment Plot No. 1 Sector 10 Dwarka New Delhi</v>
          </cell>
          <cell r="F124" t="str">
            <v>AAKPS1894C, 539526250955</v>
          </cell>
          <cell r="G124" t="str">
            <v>shaileshairlines@yahoo.com</v>
          </cell>
          <cell r="I124" t="str">
            <v>C-402</v>
          </cell>
          <cell r="J124">
            <v>4623149</v>
          </cell>
        </row>
        <row r="125">
          <cell r="D125" t="str">
            <v>Anil Kumar Grover and Indu Grover</v>
          </cell>
          <cell r="E125" t="str">
            <v>Flat No. 156 Type IV North West-Moti bagh New Delhi</v>
          </cell>
          <cell r="F125" t="str">
            <v>ANIL-ACZPG0951F, 999729674065 INDU-AASPI4842E,382248332864</v>
          </cell>
          <cell r="G125" t="str">
            <v>groveranil1965@yahoo.in</v>
          </cell>
          <cell r="I125" t="str">
            <v>B-801</v>
          </cell>
          <cell r="J125">
            <v>7913051</v>
          </cell>
        </row>
        <row r="126">
          <cell r="D126" t="str">
            <v xml:space="preserve">Munish Dayal Mathur &amp; Nupur Mathur </v>
          </cell>
          <cell r="E126" t="str">
            <v>1203A 13th Floor ,Jasminium 1 Vatika City Sector 45 Gurgaon.</v>
          </cell>
          <cell r="F126" t="str">
            <v>Munish-ABDPM8219R,355548694366,Nupur-AJRPM6404C, 742781664312</v>
          </cell>
          <cell r="G126" t="str">
            <v>munish.mathur72@gmail.com</v>
          </cell>
          <cell r="H126">
            <v>8800299334</v>
          </cell>
          <cell r="I126" t="str">
            <v>C-701</v>
          </cell>
          <cell r="J126">
            <v>6722241</v>
          </cell>
        </row>
        <row r="127">
          <cell r="D127" t="str">
            <v>Joy Realtors Private Limited</v>
          </cell>
          <cell r="E127" t="str">
            <v>7 B Rajendra Park ,Pusa Road, New Delhi</v>
          </cell>
          <cell r="F127" t="str">
            <v>CIN70101DL2003PTC118872</v>
          </cell>
          <cell r="G127" t="str">
            <v>gulshankumarjolly@yahoo.co.in</v>
          </cell>
          <cell r="I127" t="str">
            <v>F-503</v>
          </cell>
          <cell r="J127">
            <v>6523962</v>
          </cell>
        </row>
        <row r="128">
          <cell r="D128" t="str">
            <v>Shahab Rizvi/Raj Deepak Varshney</v>
          </cell>
          <cell r="E128" t="str">
            <v>701, Tower 5, Vipul Greens , Sohna Road, Gurgaon</v>
          </cell>
          <cell r="F128" t="str">
            <v>Shahab-AAUPR4734L,914639748987Raj-ADAPB7119G,904341060434</v>
          </cell>
          <cell r="G128" t="str">
            <v>shahab.rizvi@gmail.com</v>
          </cell>
          <cell r="I128" t="str">
            <v>E-602</v>
          </cell>
          <cell r="J128">
            <v>7884711</v>
          </cell>
        </row>
        <row r="129">
          <cell r="D129" t="str">
            <v>Lubna Rehman &amp; Mafuzar Rehman</v>
          </cell>
          <cell r="E129" t="str">
            <v>16-C Pocket B, Sidhartha Extension , New Delhi</v>
          </cell>
          <cell r="G129" t="str">
            <v>mrrehman001@gmail.com</v>
          </cell>
          <cell r="I129" t="str">
            <v>A-603</v>
          </cell>
          <cell r="J129">
            <v>4094533</v>
          </cell>
        </row>
        <row r="130">
          <cell r="D130" t="str">
            <v>Arun Kumar Puri &amp; Tarun Puri</v>
          </cell>
          <cell r="E130" t="str">
            <v>C-254, Sushnat Lok , Phase 1 Gurgaon</v>
          </cell>
          <cell r="F130" t="str">
            <v>Arun-AARPP9834C,701210242177Tarun-AHUPP5339C, 334994409027</v>
          </cell>
          <cell r="G130" t="str">
            <v>tarunpuri@gmail.com</v>
          </cell>
          <cell r="H130">
            <v>9971657873</v>
          </cell>
          <cell r="I130" t="str">
            <v>D-603</v>
          </cell>
          <cell r="J130">
            <v>3595848</v>
          </cell>
        </row>
        <row r="131">
          <cell r="D131" t="str">
            <v>Kamayani Kanwar</v>
          </cell>
          <cell r="E131" t="str">
            <v>1/30 Shanti Niketan, New Delhi</v>
          </cell>
          <cell r="F131" t="str">
            <v>Aadhar-376749799870</v>
          </cell>
          <cell r="G131" t="str">
            <v>gauravm@apolloindia.com</v>
          </cell>
          <cell r="I131" t="str">
            <v>D-503</v>
          </cell>
          <cell r="J131">
            <v>4457763</v>
          </cell>
        </row>
        <row r="132">
          <cell r="D132" t="str">
            <v>Zara Buildcon Private Limited</v>
          </cell>
          <cell r="E132" t="str">
            <v>B5/15 Safdarjung enclave New Delhi</v>
          </cell>
          <cell r="F132" t="str">
            <v>CIN-U70109DL2006PTC151264</v>
          </cell>
          <cell r="G132" t="str">
            <v>gauravm@apolloindia.com</v>
          </cell>
          <cell r="I132" t="str">
            <v>A-703</v>
          </cell>
          <cell r="J132">
            <v>3789237</v>
          </cell>
        </row>
        <row r="133">
          <cell r="D133" t="str">
            <v>Nisha Rani Bansal Urgent Basis</v>
          </cell>
          <cell r="E133" t="str">
            <v>142, Sector 29, Faridabad,</v>
          </cell>
          <cell r="F133" t="str">
            <v>AANPB6109Q</v>
          </cell>
          <cell r="G133" t="str">
            <v>nisha@sbbj.co.in</v>
          </cell>
          <cell r="H133">
            <v>1292500111</v>
          </cell>
          <cell r="I133" t="str">
            <v>C-501</v>
          </cell>
          <cell r="J133">
            <v>5580700</v>
          </cell>
        </row>
        <row r="134">
          <cell r="D134" t="str">
            <v xml:space="preserve">Aditya Mehta </v>
          </cell>
          <cell r="E134" t="str">
            <v>4903 East Wing 3 World Crest, The World Tower Lodha Galleria Senpati Bapat Marg, Mumbai</v>
          </cell>
          <cell r="F134" t="str">
            <v>AMBPM6735H,943447329603</v>
          </cell>
          <cell r="J134">
            <v>16965444</v>
          </cell>
        </row>
        <row r="135">
          <cell r="D135" t="str">
            <v>Kirti Nidhi Vij</v>
          </cell>
          <cell r="E135" t="str">
            <v xml:space="preserve">585 Sector 17 A, HBC Gurgaon </v>
          </cell>
          <cell r="F135" t="str">
            <v>ABFPV5826K</v>
          </cell>
          <cell r="G135" t="str">
            <v>KIRTI.N.VIG@GMAIL.COM</v>
          </cell>
          <cell r="I135" t="str">
            <v>B-601</v>
          </cell>
          <cell r="J135">
            <v>5777903</v>
          </cell>
        </row>
        <row r="136">
          <cell r="D136" t="str">
            <v xml:space="preserve">Dwijinder Prakash &amp; Mohinder Prakash </v>
          </cell>
          <cell r="E136" t="str">
            <v>201, Empire Road Green Ford Middx UK</v>
          </cell>
          <cell r="F136" t="str">
            <v>AQOPP0046R, 934102215300</v>
          </cell>
          <cell r="G136" t="str">
            <v>daveparkash@hotmail.co.uk</v>
          </cell>
          <cell r="I136" t="str">
            <v>E-201</v>
          </cell>
          <cell r="J136">
            <v>7833403</v>
          </cell>
        </row>
        <row r="137">
          <cell r="D137" t="str">
            <v xml:space="preserve">Abhinay Vaidya &amp; Madhu Vaidya </v>
          </cell>
          <cell r="E137" t="str">
            <v>1003/T 23 Orchid petals , Sohna Road Sector 49, Gurgaon</v>
          </cell>
          <cell r="F137" t="str">
            <v>Abhinay-ACVPV7162M,87772745573Madhu-AHOPR8906P,910302701824</v>
          </cell>
          <cell r="G137" t="str">
            <v>vaidya.abhinav@gmail.com</v>
          </cell>
          <cell r="H137">
            <v>8826899381</v>
          </cell>
          <cell r="I137" t="str">
            <v>D-1003</v>
          </cell>
          <cell r="J137">
            <v>5771232</v>
          </cell>
        </row>
        <row r="138">
          <cell r="D138" t="str">
            <v>Neelam Asnani</v>
          </cell>
          <cell r="E138" t="str">
            <v>C-10 Panchshil Enclave  GF New Delhi.</v>
          </cell>
          <cell r="G138" t="str">
            <v>drashimaasnani@gmail.com</v>
          </cell>
          <cell r="I138" t="str">
            <v>B-802</v>
          </cell>
          <cell r="J138">
            <v>6683178</v>
          </cell>
        </row>
        <row r="139">
          <cell r="D139" t="str">
            <v>Vinita &amp; Dinesh Bhutani</v>
          </cell>
          <cell r="E139" t="str">
            <v>546 Brown ley Court, Bloom field Hills USA</v>
          </cell>
          <cell r="F139" t="str">
            <v>Vinita-BCZPB2453ADinesh-DCLPB7855F</v>
          </cell>
          <cell r="G139" t="str">
            <v>dbhutani@gmail.com</v>
          </cell>
          <cell r="H139">
            <v>13139385834</v>
          </cell>
          <cell r="I139" t="str">
            <v>C-902</v>
          </cell>
          <cell r="J139">
            <v>4941996</v>
          </cell>
        </row>
        <row r="140">
          <cell r="D140" t="str">
            <v xml:space="preserve">Chetan Agarwal </v>
          </cell>
          <cell r="E140" t="str">
            <v>H No.68 Kalawati Bhawan Mailo Ka bag, Ward No.09 Khairthal (Alwar) -Rajasthan</v>
          </cell>
          <cell r="F140" t="str">
            <v>AGQPA8143C</v>
          </cell>
          <cell r="G140" t="str">
            <v>chetanagarwal41@gmail.com</v>
          </cell>
          <cell r="H140">
            <v>9414015715</v>
          </cell>
          <cell r="I140" t="str">
            <v>A-102</v>
          </cell>
          <cell r="J140">
            <v>7040644</v>
          </cell>
        </row>
        <row r="141">
          <cell r="D141" t="str">
            <v>Chander Pratap Singh, Manoj Kumar and Vishal Verma</v>
          </cell>
          <cell r="E141" t="str">
            <v>C-157 GF C Block Mayfield Garden Sector 51 Gurgaon</v>
          </cell>
          <cell r="F141" t="str">
            <v>Not provided</v>
          </cell>
          <cell r="G141" t="str">
            <v>vermavishal2511@gmail.com</v>
          </cell>
          <cell r="H141">
            <v>9899799678</v>
          </cell>
          <cell r="I141" t="str">
            <v>B-1502</v>
          </cell>
          <cell r="J141">
            <v>6047060</v>
          </cell>
        </row>
        <row r="142">
          <cell r="D142" t="str">
            <v>Bapi Datta &amp; Anamika Datta</v>
          </cell>
          <cell r="E142" t="str">
            <v>D 756 CR Park New Delhi</v>
          </cell>
          <cell r="F142" t="str">
            <v>AFMPD6159G,               ABQPD3908F</v>
          </cell>
          <cell r="G142" t="str">
            <v>akmeraagafba@gmail.com</v>
          </cell>
          <cell r="I142" t="str">
            <v>D-702</v>
          </cell>
          <cell r="J142">
            <v>6947713</v>
          </cell>
        </row>
        <row r="143">
          <cell r="D143" t="str">
            <v>Mrs Balwinder Kaur Virdi and Kuldip Singh Virdi</v>
          </cell>
          <cell r="E143" t="str">
            <v>7Elm Ridge Court, Monroe Twp NJ 08831 USA</v>
          </cell>
          <cell r="F143" t="str">
            <v>BVUPK1848J      AEUPV8798L</v>
          </cell>
          <cell r="G143" t="str">
            <v>balvinder52@yahoo.com</v>
          </cell>
          <cell r="I143" t="str">
            <v>E-902</v>
          </cell>
          <cell r="J143">
            <v>6858764</v>
          </cell>
        </row>
        <row r="144">
          <cell r="D144" t="str">
            <v>Amit Gupta and Rachita Gupta</v>
          </cell>
          <cell r="E144" t="str">
            <v>B29 Geetanjali Enclave New Delhi</v>
          </cell>
          <cell r="F144" t="str">
            <v>Amit Gupta - 526854010832Rachita - 991078889840</v>
          </cell>
          <cell r="G144" t="str">
            <v>amit.gupta100@gmail.com</v>
          </cell>
          <cell r="H144" t="str">
            <v>97175922629958067960</v>
          </cell>
          <cell r="I144" t="str">
            <v>D-1202</v>
          </cell>
          <cell r="J144">
            <v>5759777</v>
          </cell>
        </row>
        <row r="145">
          <cell r="D145" t="str">
            <v>Anant Pokhrana and Rampal Rathi</v>
          </cell>
          <cell r="E145" t="str">
            <v>B1404BPTP Freedom Park Life Sector 57 Gurgaon</v>
          </cell>
          <cell r="F145" t="str">
            <v>Rampal Rathi-AAUPR5795D</v>
          </cell>
          <cell r="G145" t="str">
            <v>anant.pokharna@gmail.com</v>
          </cell>
          <cell r="I145" t="str">
            <v>B-1101</v>
          </cell>
          <cell r="J145">
            <v>5678324</v>
          </cell>
        </row>
        <row r="146">
          <cell r="D146" t="str">
            <v>Amit Verma( Sunita Dagar- Payments also made by her</v>
          </cell>
          <cell r="E146" t="str">
            <v>A3/59 First Floor Paschim vihar New Delhi</v>
          </cell>
          <cell r="F146" t="str">
            <v>ACBPV4228N</v>
          </cell>
          <cell r="I146" t="str">
            <v>C-101</v>
          </cell>
          <cell r="J146">
            <v>5817366</v>
          </cell>
        </row>
        <row r="147">
          <cell r="D147" t="str">
            <v>Amit Yadav and Dr Munesh Yadav</v>
          </cell>
          <cell r="E147" t="str">
            <v>C27B Sanjay Gram, Near Sector14 Gurugram</v>
          </cell>
          <cell r="F147" t="str">
            <v>ABHPY1907E   ABVPY9993Q</v>
          </cell>
          <cell r="G147" t="str">
            <v>yadavamit4@gmail.com</v>
          </cell>
          <cell r="H147">
            <v>9999767743</v>
          </cell>
          <cell r="I147" t="str">
            <v>B-702</v>
          </cell>
          <cell r="J147">
            <v>6055283</v>
          </cell>
        </row>
        <row r="148">
          <cell r="D148" t="str">
            <v>Amit Sodhi</v>
          </cell>
          <cell r="E148" t="str">
            <v>#101 New Media Society Plot GH 10 Sector 47 Gurgaon</v>
          </cell>
          <cell r="F148" t="str">
            <v>ARVPS2124H</v>
          </cell>
          <cell r="G148" t="str">
            <v>amitsodhi@gmail.com</v>
          </cell>
          <cell r="H148" t="str">
            <v>9599945533,  9971119559</v>
          </cell>
          <cell r="I148" t="str">
            <v>B-1703</v>
          </cell>
          <cell r="J148">
            <v>6345798</v>
          </cell>
        </row>
        <row r="149">
          <cell r="D149" t="str">
            <v>Nand Kumar Singh</v>
          </cell>
          <cell r="E149" t="str">
            <v>464, Sector 10A Gurgaon</v>
          </cell>
          <cell r="F149" t="str">
            <v>BDJPS2859G</v>
          </cell>
          <cell r="G149" t="str">
            <v>nks464@gmail.com</v>
          </cell>
          <cell r="I149" t="str">
            <v>B-1403</v>
          </cell>
          <cell r="J149">
            <v>6047062</v>
          </cell>
        </row>
        <row r="150">
          <cell r="D150" t="str">
            <v>Narinder Sharawt</v>
          </cell>
          <cell r="E150" t="str">
            <v>12 Bihar BN NCC Jitwarpur Samastipur Bihar</v>
          </cell>
          <cell r="G150" t="str">
            <v>nishusharawat@yahoo.com</v>
          </cell>
          <cell r="I150" t="str">
            <v>B-102</v>
          </cell>
          <cell r="J150">
            <v>5366378</v>
          </cell>
        </row>
        <row r="151">
          <cell r="D151" t="str">
            <v>Manjeet Kaur</v>
          </cell>
          <cell r="E151" t="str">
            <v>42/7 Ground Floor East Patel Nagar New Delhi</v>
          </cell>
          <cell r="G151" t="str">
            <v>aayush@asa-partners.com</v>
          </cell>
          <cell r="I151" t="str">
            <v>D-102</v>
          </cell>
          <cell r="J151">
            <v>4361755</v>
          </cell>
        </row>
        <row r="152">
          <cell r="D152" t="str">
            <v>Manoj Kumar and Manvi Kumar</v>
          </cell>
          <cell r="E152" t="str">
            <v>C157 GF C Block Mayfield Garden Sector 51 Gugaon</v>
          </cell>
          <cell r="G152" t="str">
            <v>manoj@skmetalgroup.com</v>
          </cell>
          <cell r="H152">
            <v>9717337052</v>
          </cell>
          <cell r="I152" t="str">
            <v>B-1603</v>
          </cell>
          <cell r="J152">
            <v>6047061</v>
          </cell>
        </row>
        <row r="153">
          <cell r="D153" t="str">
            <v>Madhu Mishra, Dr Chandra Shekhar and Jay Parkash Mishra</v>
          </cell>
          <cell r="E153" t="str">
            <v>C69 Doctors' Building PO Zawar Mines Udaipur</v>
          </cell>
          <cell r="F153" t="str">
            <v>Madhu Mishra- AXBPM9625K</v>
          </cell>
          <cell r="G153" t="str">
            <v>dr.csm54@gmail.com</v>
          </cell>
          <cell r="H153">
            <v>9460968565</v>
          </cell>
          <cell r="I153" t="str">
            <v>D-303</v>
          </cell>
          <cell r="J153">
            <v>7080632</v>
          </cell>
        </row>
        <row r="154">
          <cell r="D154" t="str">
            <v>Manavdeep Singh</v>
          </cell>
          <cell r="E154" t="str">
            <v>113 Gobind Apartments, Vasundhra Enclave Delhi</v>
          </cell>
          <cell r="F154" t="str">
            <v>BFAPS6768D</v>
          </cell>
          <cell r="G154" t="str">
            <v>manavdeeps@gmail.com</v>
          </cell>
          <cell r="H154">
            <v>9811343453</v>
          </cell>
          <cell r="I154" t="str">
            <v>A-002</v>
          </cell>
          <cell r="J154">
            <v>6370724</v>
          </cell>
        </row>
        <row r="155">
          <cell r="D155" t="str">
            <v>Manab Dutta and Jayati Dutta</v>
          </cell>
          <cell r="E155" t="str">
            <v>40/150 CR Park New Delhi</v>
          </cell>
          <cell r="F155" t="str">
            <v>AGAPM5095P    AHRPD7183M</v>
          </cell>
          <cell r="G155" t="str">
            <v>manabdutta@yahoo.com</v>
          </cell>
          <cell r="H155">
            <v>642355124881</v>
          </cell>
          <cell r="I155" t="str">
            <v>D-1802</v>
          </cell>
          <cell r="J155">
            <v>6831572</v>
          </cell>
        </row>
        <row r="156">
          <cell r="D156" t="str">
            <v>Mridul Goel</v>
          </cell>
          <cell r="E156" t="str">
            <v xml:space="preserve">1 B 26 Chandra Chekhar Azzad Nagar Bhilwara </v>
          </cell>
          <cell r="F156" t="str">
            <v>AFKPG3666D</v>
          </cell>
          <cell r="G156" t="str">
            <v>mridul1982@gmail.com</v>
          </cell>
          <cell r="I156" t="str">
            <v>B-403</v>
          </cell>
          <cell r="J156">
            <v>5345343</v>
          </cell>
        </row>
        <row r="157">
          <cell r="D157" t="str">
            <v>Mridul Goel HUF</v>
          </cell>
          <cell r="E157" t="str">
            <v xml:space="preserve">1 B 26 Chandra Chekhar Azzad Nagar Bhilwara </v>
          </cell>
          <cell r="F157" t="str">
            <v>AFKPG3666D</v>
          </cell>
          <cell r="G157" t="str">
            <v>mridul1982@gmail.com</v>
          </cell>
          <cell r="I157" t="str">
            <v>B-302</v>
          </cell>
          <cell r="J157">
            <v>5345343</v>
          </cell>
        </row>
        <row r="158">
          <cell r="D158" t="str">
            <v>Kanupriya Arora</v>
          </cell>
          <cell r="E158" t="str">
            <v xml:space="preserve"> A5 -2nd Floor Lajpat Nagar -III New Delhi</v>
          </cell>
          <cell r="F158" t="str">
            <v>?</v>
          </cell>
          <cell r="G158" t="str">
            <v>aayush@asa-partners.com</v>
          </cell>
          <cell r="I158" t="str">
            <v>C-601</v>
          </cell>
          <cell r="J158">
            <v>5233179</v>
          </cell>
        </row>
        <row r="159">
          <cell r="D159" t="str">
            <v>Kishan Kumar Gupta &amp; Mithilesh Gupta</v>
          </cell>
          <cell r="E159" t="str">
            <v>WZ-106/79 Rajouri Garden Extn New Delhi</v>
          </cell>
          <cell r="F159" t="str">
            <v>AAIPG0872A   ADEPG7278F</v>
          </cell>
          <cell r="G159" t="str">
            <v>guptavineet82@gmail.com</v>
          </cell>
          <cell r="I159" t="str">
            <v>E-1403</v>
          </cell>
          <cell r="J159">
            <v>6523458</v>
          </cell>
        </row>
        <row r="160">
          <cell r="D160" t="str">
            <v>Jossy John</v>
          </cell>
          <cell r="E160" t="str">
            <v>69a Pocket -3 Mayur Vihar Phase1 Delhi</v>
          </cell>
          <cell r="F160" t="str">
            <v>AFJPJ3969F</v>
          </cell>
          <cell r="G160" t="str">
            <v>jonykuttyvodafone@gmail.com</v>
          </cell>
          <cell r="I160" t="str">
            <v>D-403</v>
          </cell>
          <cell r="J160">
            <v>6955377</v>
          </cell>
        </row>
        <row r="161">
          <cell r="D161" t="str">
            <v>Rimple Dhiraaj</v>
          </cell>
          <cell r="F161" t="str">
            <v>APL/R2/2012-13/9168</v>
          </cell>
          <cell r="J161">
            <v>6133689</v>
          </cell>
        </row>
        <row r="162">
          <cell r="D162" t="str">
            <v>M/s Tason Holdings Pvt Ltd</v>
          </cell>
          <cell r="E162" t="str">
            <v>CIN - U65100DL2007PTC164865</v>
          </cell>
          <cell r="F162" t="str">
            <v>11/11, West Patel Nagar, New Delhi</v>
          </cell>
          <cell r="G162" t="str">
            <v>sonalanand@gmail.com</v>
          </cell>
          <cell r="I162" t="str">
            <v>G-1002</v>
          </cell>
          <cell r="J162">
            <v>5649210</v>
          </cell>
        </row>
        <row r="163">
          <cell r="D163" t="str">
            <v>Asha Garg</v>
          </cell>
          <cell r="E163" t="str">
            <v>H.No. 459, Sector - 9, Faridabad</v>
          </cell>
          <cell r="F163" t="str">
            <v>AATPG2994C</v>
          </cell>
          <cell r="G163" t="str">
            <v>bcasha9@gmail.com</v>
          </cell>
          <cell r="H163">
            <v>9818978988</v>
          </cell>
          <cell r="I163" t="str">
            <v>E-302</v>
          </cell>
          <cell r="J163">
            <v>6393548</v>
          </cell>
        </row>
        <row r="164">
          <cell r="D164" t="str">
            <v>Harinder Singh</v>
          </cell>
          <cell r="E164" t="str">
            <v>H.No. 14, Sector - 31, GurgaonReceived on 22-09-2019</v>
          </cell>
          <cell r="F164" t="str">
            <v>Harinder - 402592969834</v>
          </cell>
          <cell r="G164" t="str">
            <v>hsingh@tenac.net</v>
          </cell>
          <cell r="H164">
            <v>9811999937</v>
          </cell>
          <cell r="I164" t="str">
            <v>B-1003</v>
          </cell>
          <cell r="J164">
            <v>3851892</v>
          </cell>
        </row>
        <row r="165">
          <cell r="D165" t="str">
            <v>Waryam Singh</v>
          </cell>
          <cell r="E165" t="str">
            <v>House #222/5,Shamsherpur, Main Road,Paonta Sahib, Sirmour H.P.</v>
          </cell>
          <cell r="F165" t="str">
            <v>Gajinder Singh, aadhar,2265 8874 0286Raj Rani/Raj Kumari,aadhar - 5874 3163 7777</v>
          </cell>
          <cell r="G165" t="str">
            <v>email: gajinder.singh@gmail.com</v>
          </cell>
          <cell r="H165">
            <v>919910061896</v>
          </cell>
          <cell r="J165">
            <v>6101498</v>
          </cell>
        </row>
        <row r="166">
          <cell r="D166" t="str">
            <v>R.S Manti / Santokh Mantri</v>
          </cell>
          <cell r="E166" t="str">
            <v>B-1104, Park View City - 2, Sector - 49, Gurgaon - 122018</v>
          </cell>
          <cell r="F166" t="str">
            <v>R.S. Mantri - 628703071464Santokh Mantri - 777159796846</v>
          </cell>
          <cell r="G166" t="str">
            <v>sunil98101@yahoo.co.inmantrirs@gmail.com</v>
          </cell>
          <cell r="H166" t="str">
            <v>98110 13190</v>
          </cell>
          <cell r="J166">
            <v>4721967</v>
          </cell>
        </row>
        <row r="167">
          <cell r="D167" t="str">
            <v>Sanjay Gupta</v>
          </cell>
          <cell r="E167" t="str">
            <v>House No- 96, Shakti Vihar, Haibowal Kalan, Ludhian-141001</v>
          </cell>
          <cell r="F167" t="str">
            <v>AADHAR NO- 332357271492</v>
          </cell>
          <cell r="G167" t="str">
            <v>sx49630@yahoo.com</v>
          </cell>
          <cell r="H167">
            <v>8283838575</v>
          </cell>
          <cell r="J167">
            <v>6156801</v>
          </cell>
        </row>
        <row r="168">
          <cell r="D168" t="str">
            <v>Sashwat Sharma</v>
          </cell>
          <cell r="E168" t="str">
            <v>E-21, Windsir Park, Vaibhav Khand, Indirapuram, Ghaziabad, UP - 201014</v>
          </cell>
          <cell r="F168" t="str">
            <v>Adhaar - 698003758347</v>
          </cell>
          <cell r="G168" t="str">
            <v>shashwat.sharma86@gmail.com</v>
          </cell>
          <cell r="H168" t="str">
            <v>9599002485,8527161666</v>
          </cell>
          <cell r="J168">
            <v>9734695</v>
          </cell>
        </row>
        <row r="169">
          <cell r="D169" t="str">
            <v>Sachin Virmani</v>
          </cell>
          <cell r="E169" t="str">
            <v>C-1168, Sushant Lok 1, Gurgaon, Haryana - 122002</v>
          </cell>
          <cell r="F169" t="str">
            <v>Sachin - 282842403435Anubha - 486754996634</v>
          </cell>
          <cell r="G169" t="str">
            <v>sahinvirmani@yahoo.comanubha300983@gmail.com</v>
          </cell>
          <cell r="I169" t="str">
            <v>A-903</v>
          </cell>
          <cell r="J169">
            <v>6239642</v>
          </cell>
        </row>
        <row r="170">
          <cell r="D170" t="str">
            <v>Prerna Garg &amp; R.C Garg</v>
          </cell>
          <cell r="E170" t="str">
            <v>202, Jasminium Apartments, Sector 45, Gurgaon - 122002</v>
          </cell>
          <cell r="F170" t="str">
            <v>Prerna - 352122038228R.C Garg - 268164380755</v>
          </cell>
          <cell r="G170" t="str">
            <v>abhigarg2000@yahoo.com</v>
          </cell>
          <cell r="I170" t="str">
            <v>D-703</v>
          </cell>
          <cell r="J170">
            <v>7739161</v>
          </cell>
        </row>
        <row r="171">
          <cell r="D171" t="str">
            <v>Ashok Kumar Ponniah</v>
          </cell>
          <cell r="E171" t="str">
            <v>C2-51, Himalayan Apartment, Plot No. 10, Sector - 22, Dwarks, New Delhi - 110077</v>
          </cell>
          <cell r="G171" t="str">
            <v>ponniah_ashok@yahoo.comashokkumar.ponniah@maruti.co.in</v>
          </cell>
          <cell r="I171" t="str">
            <v>C-1202</v>
          </cell>
          <cell r="J171">
            <v>8300806</v>
          </cell>
        </row>
        <row r="172">
          <cell r="D172" t="str">
            <v>Kapil N Vaid</v>
          </cell>
          <cell r="E172" t="str">
            <v>G-703, Sispal Vihar, South City II, Sohna Road, Sector 49, Gurugram - 122018</v>
          </cell>
          <cell r="F172" t="str">
            <v>99580036389958180123</v>
          </cell>
          <cell r="G172" t="str">
            <v>kapilvaid@rediffmail.comjimisha_sheth@rediffmail.com</v>
          </cell>
          <cell r="I172" t="str">
            <v>A-1102</v>
          </cell>
          <cell r="J172">
            <v>6914956</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3">
          <cell r="C3" t="str">
            <v>Ashish Bhatia &amp; Manila Bhatia</v>
          </cell>
          <cell r="D3" t="str">
            <v>C-1203</v>
          </cell>
          <cell r="E3">
            <v>4992228</v>
          </cell>
        </row>
        <row r="4">
          <cell r="C4" t="str">
            <v>Amandeep Sachdeva</v>
          </cell>
          <cell r="D4" t="str">
            <v>B-1402</v>
          </cell>
          <cell r="E4">
            <v>6033391</v>
          </cell>
        </row>
        <row r="5">
          <cell r="C5" t="str">
            <v>Anurag Upadhyaya &amp; Bhavna Upadhyaya</v>
          </cell>
          <cell r="D5" t="str">
            <v>D-903</v>
          </cell>
          <cell r="E5">
            <v>6319921</v>
          </cell>
        </row>
        <row r="6">
          <cell r="C6" t="str">
            <v>Arvind Kochar</v>
          </cell>
          <cell r="D6" t="str">
            <v>C-1002</v>
          </cell>
          <cell r="E6">
            <v>5157979</v>
          </cell>
        </row>
        <row r="7">
          <cell r="C7" t="str">
            <v xml:space="preserve">Anuradha Kapoor </v>
          </cell>
          <cell r="D7" t="str">
            <v>C-1401</v>
          </cell>
          <cell r="E7">
            <v>5683385</v>
          </cell>
        </row>
        <row r="8">
          <cell r="C8" t="str">
            <v>Adarsh Kumar</v>
          </cell>
          <cell r="D8" t="str">
            <v>A-503</v>
          </cell>
          <cell r="E8">
            <v>6343356</v>
          </cell>
        </row>
        <row r="9">
          <cell r="C9" t="str">
            <v>Amit Krishan Luthra &amp; Praketa Luthra</v>
          </cell>
          <cell r="D9" t="str">
            <v>F-1802</v>
          </cell>
          <cell r="E9">
            <v>7681411</v>
          </cell>
        </row>
        <row r="10">
          <cell r="C10" t="str">
            <v>Akhilesh Kumar Gupta and Ruchi Gupta</v>
          </cell>
          <cell r="D10" t="str">
            <v>F-1702</v>
          </cell>
          <cell r="E10">
            <v>6576202</v>
          </cell>
        </row>
        <row r="11">
          <cell r="C11" t="str">
            <v>Amit Sodhi</v>
          </cell>
          <cell r="D11" t="str">
            <v>B-1703</v>
          </cell>
          <cell r="E11">
            <v>6345798</v>
          </cell>
        </row>
        <row r="12">
          <cell r="C12" t="str">
            <v>Aqueel Ahmad</v>
          </cell>
          <cell r="D12" t="str">
            <v>D-1402</v>
          </cell>
          <cell r="E12">
            <v>9146109</v>
          </cell>
        </row>
        <row r="13">
          <cell r="C13" t="str">
            <v>Amit Yadav and Dr Munesh Yadav</v>
          </cell>
          <cell r="D13" t="str">
            <v>B-702</v>
          </cell>
          <cell r="E13">
            <v>6055283</v>
          </cell>
        </row>
        <row r="14">
          <cell r="C14" t="str">
            <v>Amit Verma( Sunita Dagar- Payments also made by her)</v>
          </cell>
          <cell r="D14" t="str">
            <v>C-101</v>
          </cell>
          <cell r="E14">
            <v>5815881</v>
          </cell>
        </row>
        <row r="15">
          <cell r="C15" t="str">
            <v>Anant Pokhrana and Rampal Rathi</v>
          </cell>
          <cell r="D15" t="str">
            <v>B-1101</v>
          </cell>
          <cell r="E15">
            <v>5678027</v>
          </cell>
        </row>
        <row r="16">
          <cell r="C16" t="str">
            <v>Amit Gupta and Rachita Gupta</v>
          </cell>
          <cell r="D16" t="str">
            <v xml:space="preserve"> D-1202</v>
          </cell>
          <cell r="E16">
            <v>5759777</v>
          </cell>
        </row>
        <row r="17">
          <cell r="C17" t="str">
            <v xml:space="preserve">Mr. Ajay Kumar Agarwal </v>
          </cell>
          <cell r="D17" t="str">
            <v>E-1503</v>
          </cell>
          <cell r="E17">
            <v>9569502</v>
          </cell>
        </row>
        <row r="18">
          <cell r="C18" t="str">
            <v xml:space="preserve">M/S. Aaa landmark pvt ltd </v>
          </cell>
          <cell r="D18" t="str">
            <v>D-1603</v>
          </cell>
          <cell r="E18">
            <v>4376306</v>
          </cell>
        </row>
        <row r="19">
          <cell r="C19" t="str">
            <v>Arun Anand</v>
          </cell>
          <cell r="D19" t="str">
            <v>E-1601</v>
          </cell>
          <cell r="E19">
            <v>6232800</v>
          </cell>
        </row>
        <row r="20">
          <cell r="C20" t="str">
            <v>Arun Anand</v>
          </cell>
          <cell r="D20" t="str">
            <v>E-1501</v>
          </cell>
          <cell r="E20">
            <v>6232800</v>
          </cell>
        </row>
        <row r="21">
          <cell r="C21" t="str">
            <v>Balvinder Kaur &amp; Kuldip Singh Virdi</v>
          </cell>
          <cell r="D21" t="str">
            <v>E-902</v>
          </cell>
          <cell r="E21">
            <v>7054075</v>
          </cell>
        </row>
        <row r="22">
          <cell r="C22" t="str">
            <v>Bapi Datta / Anamika Datta</v>
          </cell>
          <cell r="D22" t="str">
            <v>D-702</v>
          </cell>
          <cell r="E22">
            <v>6947804</v>
          </cell>
        </row>
        <row r="23">
          <cell r="C23" t="str">
            <v>Chandra Pratap Singh / Manoj Kumar / Vishal Verma</v>
          </cell>
          <cell r="D23" t="str">
            <v>B-1502</v>
          </cell>
          <cell r="E23">
            <v>6047061</v>
          </cell>
        </row>
        <row r="24">
          <cell r="C24" t="str">
            <v>Chetan Agarwal</v>
          </cell>
          <cell r="D24" t="str">
            <v>A-102</v>
          </cell>
          <cell r="E24">
            <v>7040646</v>
          </cell>
        </row>
        <row r="25">
          <cell r="C25" t="str">
            <v>Deepali Chandhoke</v>
          </cell>
          <cell r="D25" t="str">
            <v xml:space="preserve">G-1401 </v>
          </cell>
          <cell r="E25">
            <v>5218948</v>
          </cell>
        </row>
        <row r="26">
          <cell r="C26" t="str">
            <v>Deepali Chandhoke</v>
          </cell>
          <cell r="D26" t="str">
            <v>E-1701</v>
          </cell>
          <cell r="E26">
            <v>8170152</v>
          </cell>
        </row>
        <row r="27">
          <cell r="C27" t="str">
            <v>Devinder Kumar &amp; Usha Gupta</v>
          </cell>
          <cell r="D27" t="str">
            <v>E-1402</v>
          </cell>
          <cell r="E27">
            <v>6523467</v>
          </cell>
        </row>
        <row r="28">
          <cell r="C28" t="str">
            <v>Dipika Vasdev</v>
          </cell>
          <cell r="D28" t="str">
            <v>B-602</v>
          </cell>
          <cell r="E28">
            <v>4771785</v>
          </cell>
        </row>
        <row r="29">
          <cell r="C29" t="str">
            <v>Dinesh Kumar Jindal</v>
          </cell>
          <cell r="D29" t="str">
            <v>B-1401</v>
          </cell>
          <cell r="E29">
            <v>5485310</v>
          </cell>
        </row>
        <row r="30">
          <cell r="C30" t="str">
            <v>Divya Jindal</v>
          </cell>
          <cell r="D30" t="str">
            <v>A-401</v>
          </cell>
          <cell r="E30">
            <v>6326586</v>
          </cell>
        </row>
        <row r="31">
          <cell r="C31" t="str">
            <v>G. Thiagarajan &amp; T. Shanthi</v>
          </cell>
          <cell r="D31" t="str">
            <v>A-1002</v>
          </cell>
          <cell r="E31">
            <v>6914956</v>
          </cell>
        </row>
        <row r="32">
          <cell r="C32" t="str">
            <v>Gopal Krishna &amp; Asha Rani</v>
          </cell>
          <cell r="D32" t="str">
            <v>F-1503</v>
          </cell>
          <cell r="E32">
            <v>5100000</v>
          </cell>
        </row>
        <row r="33">
          <cell r="C33" t="str">
            <v>Gagan Agrawal &amp; Ruchi Agarwal</v>
          </cell>
          <cell r="D33" t="str">
            <v>A-203</v>
          </cell>
          <cell r="E33">
            <v>6970524</v>
          </cell>
        </row>
        <row r="34">
          <cell r="C34" t="str">
            <v>Gaurav Bakshi</v>
          </cell>
          <cell r="D34" t="str">
            <v>B-103</v>
          </cell>
          <cell r="E34">
            <v>4257131</v>
          </cell>
        </row>
        <row r="35">
          <cell r="C35" t="str">
            <v>Gayatree Anand &amp; Renu Anand</v>
          </cell>
          <cell r="D35" t="str">
            <v>F-603</v>
          </cell>
          <cell r="E35">
            <v>4457256</v>
          </cell>
        </row>
        <row r="36">
          <cell r="C36" t="str">
            <v>Harpreet Singh Sethi &amp; Narinder Singh Sethi</v>
          </cell>
          <cell r="D36" t="str">
            <v>C-503</v>
          </cell>
          <cell r="E36">
            <v>6041913</v>
          </cell>
        </row>
        <row r="37">
          <cell r="C37" t="str">
            <v>Ishwar Anand Yadav &amp; Suman Yadav</v>
          </cell>
          <cell r="D37" t="str">
            <v>A-601</v>
          </cell>
          <cell r="E37">
            <v>7031367</v>
          </cell>
        </row>
        <row r="38">
          <cell r="C38" t="str">
            <v>Jag Pal Singh</v>
          </cell>
          <cell r="D38" t="str">
            <v>B-402</v>
          </cell>
          <cell r="E38">
            <v>5115555</v>
          </cell>
        </row>
        <row r="39">
          <cell r="C39" t="str">
            <v>Jogesh Sahni &amp; Monica Sahni</v>
          </cell>
          <cell r="D39" t="str">
            <v>C-803</v>
          </cell>
          <cell r="E39">
            <v>4998109</v>
          </cell>
        </row>
        <row r="40">
          <cell r="C40" t="str">
            <v>Jossy John</v>
          </cell>
          <cell r="D40" t="str">
            <v>D-403</v>
          </cell>
          <cell r="E40">
            <v>6947708</v>
          </cell>
        </row>
        <row r="41">
          <cell r="C41" t="str">
            <v>Kishan Kumar  Gupta &amp; Mithlesh Gupta</v>
          </cell>
          <cell r="D41" t="str">
            <v>E-1403</v>
          </cell>
          <cell r="E41">
            <v>6523467</v>
          </cell>
        </row>
        <row r="42">
          <cell r="C42" t="str">
            <v>Kanupriya Arora</v>
          </cell>
          <cell r="D42" t="str">
            <v>C-601</v>
          </cell>
          <cell r="E42">
            <v>5233182</v>
          </cell>
        </row>
        <row r="43">
          <cell r="C43" t="str">
            <v>Mridul Goel HUF</v>
          </cell>
          <cell r="D43" t="str">
            <v>B-302</v>
          </cell>
          <cell r="E43">
            <v>5345343</v>
          </cell>
        </row>
        <row r="44">
          <cell r="C44" t="str">
            <v>Mridul Goel</v>
          </cell>
          <cell r="D44" t="str">
            <v>B-403</v>
          </cell>
          <cell r="E44">
            <v>5345341</v>
          </cell>
        </row>
        <row r="45">
          <cell r="C45" t="str">
            <v>Manab Dutta &amp; Jayati Dutta</v>
          </cell>
          <cell r="D45" t="str">
            <v>D-1802</v>
          </cell>
          <cell r="E45">
            <v>6819745</v>
          </cell>
        </row>
        <row r="46">
          <cell r="C46" t="str">
            <v>Manvdeep Singh</v>
          </cell>
          <cell r="D46" t="str">
            <v>A-002</v>
          </cell>
          <cell r="E46">
            <v>5874707</v>
          </cell>
        </row>
        <row r="47">
          <cell r="C47" t="str">
            <v>Madhu Mishra &amp; Chandra Shekhar Mishra &amp; Jay Prakash Mishra</v>
          </cell>
          <cell r="D47" t="str">
            <v>D-303</v>
          </cell>
          <cell r="E47">
            <v>7068265</v>
          </cell>
        </row>
        <row r="48">
          <cell r="C48" t="str">
            <v>Manoj Kumar &amp; Manvi Kumar</v>
          </cell>
          <cell r="D48" t="str">
            <v>B-1603</v>
          </cell>
          <cell r="E48">
            <v>6047062</v>
          </cell>
        </row>
        <row r="49">
          <cell r="C49" t="str">
            <v>Manjeet Kaur</v>
          </cell>
          <cell r="D49" t="str">
            <v>D-102</v>
          </cell>
          <cell r="E49">
            <v>4361755</v>
          </cell>
        </row>
        <row r="50">
          <cell r="C50" t="str">
            <v>Narinder Sharawat</v>
          </cell>
          <cell r="D50" t="str">
            <v>B-102</v>
          </cell>
          <cell r="E50">
            <v>4835336</v>
          </cell>
        </row>
        <row r="51">
          <cell r="C51" t="str">
            <v>Nand Kumar Singh</v>
          </cell>
          <cell r="D51" t="str">
            <v>B-1403</v>
          </cell>
          <cell r="E51">
            <v>6047062</v>
          </cell>
        </row>
        <row r="52">
          <cell r="C52" t="str">
            <v>Naresh Kumar Talwar &amp; Ritu Talwar</v>
          </cell>
          <cell r="D52" t="str">
            <v>E-1003</v>
          </cell>
          <cell r="E52">
            <v>7872187</v>
          </cell>
        </row>
        <row r="53">
          <cell r="C53" t="str">
            <v>Navnitya Parkash Goyal</v>
          </cell>
          <cell r="D53" t="str">
            <v>F-1403</v>
          </cell>
          <cell r="E53">
            <v>6523470</v>
          </cell>
        </row>
        <row r="54">
          <cell r="C54" t="str">
            <v>Nitin Gulati &amp; Aarti Gulati</v>
          </cell>
          <cell r="D54" t="str">
            <v>A-101</v>
          </cell>
          <cell r="E54">
            <v>7792805</v>
          </cell>
        </row>
        <row r="55">
          <cell r="C55" t="str">
            <v>Naveen Chitkara</v>
          </cell>
          <cell r="D55" t="str">
            <v>A-103</v>
          </cell>
          <cell r="E55">
            <v>5683451</v>
          </cell>
        </row>
        <row r="56">
          <cell r="C56" t="str">
            <v>Nirbhai Singh &amp; Jarnail Singh</v>
          </cell>
          <cell r="D56" t="str">
            <v>F-102</v>
          </cell>
          <cell r="E56">
            <v>4202000</v>
          </cell>
        </row>
        <row r="57">
          <cell r="C57" t="str">
            <v>Prasoon Chauhan</v>
          </cell>
          <cell r="D57" t="str">
            <v>D-602</v>
          </cell>
          <cell r="E57">
            <v>8569399</v>
          </cell>
        </row>
        <row r="58">
          <cell r="C58" t="str">
            <v>Prem Kumar Goyal</v>
          </cell>
          <cell r="D58" t="str">
            <v>A-1103</v>
          </cell>
          <cell r="E58">
            <v>5683451</v>
          </cell>
        </row>
        <row r="59">
          <cell r="C59" t="str">
            <v>Rajesh Choudhary &amp; Ram Singh Choudhary</v>
          </cell>
          <cell r="D59" t="str">
            <v>B-703</v>
          </cell>
          <cell r="E59">
            <v>6033225</v>
          </cell>
        </row>
        <row r="60">
          <cell r="C60" t="str">
            <v>Ravi Kothari &amp; Sohan Lal Kothari</v>
          </cell>
          <cell r="D60" t="str">
            <v>A-802</v>
          </cell>
          <cell r="E60">
            <v>6173717</v>
          </cell>
        </row>
        <row r="61">
          <cell r="C61" t="str">
            <v>Rajeev Aggarwal &amp; Amita Aggrawal</v>
          </cell>
          <cell r="D61" t="str">
            <v>C-401</v>
          </cell>
          <cell r="E61">
            <v>5683386</v>
          </cell>
        </row>
        <row r="62">
          <cell r="C62" t="str">
            <v>Rajesh Kumar Gupta</v>
          </cell>
          <cell r="D62" t="str">
            <v>B-201</v>
          </cell>
          <cell r="E62">
            <v>5786798</v>
          </cell>
        </row>
        <row r="63">
          <cell r="C63" t="str">
            <v>Rakesh Kumar Mehta</v>
          </cell>
          <cell r="D63" t="str">
            <v>B-1601</v>
          </cell>
          <cell r="E63">
            <v>5683385</v>
          </cell>
        </row>
        <row r="64">
          <cell r="C64" t="str">
            <v>Rajeev Mahajan &amp; Rohit Savara</v>
          </cell>
          <cell r="D64" t="str">
            <v>G-1502</v>
          </cell>
          <cell r="E64">
            <v>7733816</v>
          </cell>
        </row>
        <row r="65">
          <cell r="C65" t="str">
            <v>Rahul Arora &amp; Saroj Arora</v>
          </cell>
          <cell r="D65" t="str">
            <v>C-102</v>
          </cell>
          <cell r="E65">
            <v>3700280</v>
          </cell>
        </row>
        <row r="66">
          <cell r="C66" t="str">
            <v>Ritu Kapoor, Munish Mehta &amp; Saurabh Arora</v>
          </cell>
          <cell r="D66" t="str">
            <v>C-302</v>
          </cell>
          <cell r="E66">
            <v>4442281</v>
          </cell>
        </row>
        <row r="67">
          <cell r="C67" t="str">
            <v xml:space="preserve">Rakesh Gangadhar &amp; Kusam Bala, </v>
          </cell>
          <cell r="D67" t="str">
            <v>A-1501</v>
          </cell>
          <cell r="E67">
            <v>7511889</v>
          </cell>
        </row>
        <row r="68">
          <cell r="C68" t="str">
            <v>Rekha Yadav</v>
          </cell>
          <cell r="D68" t="str">
            <v>C-003</v>
          </cell>
          <cell r="E68">
            <v>5166447</v>
          </cell>
        </row>
        <row r="69">
          <cell r="C69" t="str">
            <v>Rajarajan Viswanathan</v>
          </cell>
          <cell r="D69" t="str">
            <v>E-802</v>
          </cell>
          <cell r="E69">
            <v>7303709</v>
          </cell>
        </row>
        <row r="70">
          <cell r="C70" t="str">
            <v>Ratna Sharma &amp; Sudhir Kumar Sharma</v>
          </cell>
          <cell r="D70" t="str">
            <v>A-1201</v>
          </cell>
          <cell r="E70">
            <v>5625515</v>
          </cell>
        </row>
        <row r="71">
          <cell r="C71" t="str">
            <v>Rakesh Sarin &amp; Bala Sarin</v>
          </cell>
          <cell r="D71" t="str">
            <v>A-1202</v>
          </cell>
          <cell r="E71">
            <v>6914957</v>
          </cell>
        </row>
        <row r="72">
          <cell r="C72" t="str">
            <v>S Shankar</v>
          </cell>
          <cell r="D72" t="str">
            <v>B-503</v>
          </cell>
          <cell r="E72">
            <v>5450297</v>
          </cell>
        </row>
        <row r="73">
          <cell r="C73" t="str">
            <v>Sandeep Agarwal</v>
          </cell>
          <cell r="D73" t="str">
            <v>A-1001</v>
          </cell>
          <cell r="E73">
            <v>6298217</v>
          </cell>
        </row>
        <row r="74">
          <cell r="C74" t="str">
            <v>Sunil Kumar Bhat &amp; Anita Bhat</v>
          </cell>
          <cell r="D74" t="str">
            <v>A-801</v>
          </cell>
          <cell r="E74">
            <v>6451381</v>
          </cell>
        </row>
        <row r="75">
          <cell r="C75" t="str">
            <v>Surinder Kaur &amp; Devinder Pal Singh</v>
          </cell>
          <cell r="D75" t="str">
            <v>F-702</v>
          </cell>
          <cell r="E75">
            <v>5645584</v>
          </cell>
        </row>
        <row r="76">
          <cell r="C76" t="str">
            <v>Sangeeta Arora</v>
          </cell>
          <cell r="D76" t="str">
            <v>A-202</v>
          </cell>
          <cell r="E76">
            <v>7132604</v>
          </cell>
        </row>
        <row r="77">
          <cell r="C77" t="str">
            <v>Sajjan Kumar Agarwal</v>
          </cell>
          <cell r="D77" t="str">
            <v>C-1102</v>
          </cell>
          <cell r="E77">
            <v>4998108</v>
          </cell>
        </row>
        <row r="78">
          <cell r="C78" t="str">
            <v>Sunil Arora</v>
          </cell>
          <cell r="D78" t="str">
            <v>B-502</v>
          </cell>
          <cell r="E78">
            <v>4502906</v>
          </cell>
        </row>
        <row r="79">
          <cell r="C79" t="str">
            <v>Sudhir Sharma</v>
          </cell>
          <cell r="D79" t="str">
            <v>F-1701</v>
          </cell>
          <cell r="E79">
            <v>8421527</v>
          </cell>
        </row>
        <row r="80">
          <cell r="C80" t="str">
            <v>Sudhir Sharma</v>
          </cell>
          <cell r="D80" t="str">
            <v>G-1601</v>
          </cell>
          <cell r="E80">
            <v>4352596</v>
          </cell>
        </row>
        <row r="81">
          <cell r="C81" t="str">
            <v>Sonal Anand</v>
          </cell>
          <cell r="D81" t="str">
            <v>E-002</v>
          </cell>
          <cell r="E81">
            <v>7248021</v>
          </cell>
        </row>
        <row r="82">
          <cell r="C82" t="str">
            <v>Sunita Bakshi</v>
          </cell>
          <cell r="D82" t="str">
            <v>C-303</v>
          </cell>
          <cell r="E82">
            <v>5325128</v>
          </cell>
        </row>
        <row r="83">
          <cell r="C83" t="str">
            <v>Sunil Trehun &amp; V.K Trehun</v>
          </cell>
          <cell r="D83" t="str">
            <v>A-1602</v>
          </cell>
          <cell r="E83">
            <v>4998110</v>
          </cell>
        </row>
        <row r="84">
          <cell r="C84" t="str">
            <v>Shishir Agarwal &amp; Ankita Agarwal</v>
          </cell>
          <cell r="D84" t="str">
            <v>A-303</v>
          </cell>
          <cell r="E84">
            <v>6922234</v>
          </cell>
        </row>
        <row r="85">
          <cell r="C85" t="str">
            <v>Shailja Sharma</v>
          </cell>
          <cell r="D85" t="str">
            <v>D-902</v>
          </cell>
          <cell r="E85">
            <v>4928542</v>
          </cell>
        </row>
        <row r="86">
          <cell r="C86" t="str">
            <v>Seema Chaturvedi</v>
          </cell>
          <cell r="D86" t="str">
            <v>A-201</v>
          </cell>
          <cell r="E86">
            <v>7951692</v>
          </cell>
        </row>
        <row r="87">
          <cell r="C87" t="str">
            <v>Shalini Bawa Anand &amp; Vishal Anand</v>
          </cell>
          <cell r="D87" t="str">
            <v>A-701</v>
          </cell>
          <cell r="E87">
            <v>7903741</v>
          </cell>
        </row>
        <row r="88">
          <cell r="C88" t="str">
            <v>Shruti Sud</v>
          </cell>
          <cell r="D88" t="str">
            <v>F-403</v>
          </cell>
          <cell r="E88">
            <v>5543321</v>
          </cell>
        </row>
        <row r="89">
          <cell r="C89" t="str">
            <v>Tarun Chawla &amp; Khushi Vats</v>
          </cell>
          <cell r="D89" t="str">
            <v>B-401</v>
          </cell>
          <cell r="E89">
            <v>5871701</v>
          </cell>
        </row>
        <row r="90">
          <cell r="C90" t="str">
            <v>Tripta Agarwal &amp; Arvind Kumar Agarwal</v>
          </cell>
          <cell r="D90" t="str">
            <v>E-1002</v>
          </cell>
          <cell r="E90">
            <v>7503255</v>
          </cell>
        </row>
        <row r="91">
          <cell r="C91" t="str">
            <v>Tason Holdings Pvt. Ltd</v>
          </cell>
          <cell r="D91" t="str">
            <v>G-1002</v>
          </cell>
          <cell r="E91">
            <v>5649210</v>
          </cell>
        </row>
        <row r="92">
          <cell r="C92" t="str">
            <v>Tason Holdings Pvt. Ltd</v>
          </cell>
          <cell r="D92" t="str">
            <v>B-1602</v>
          </cell>
          <cell r="E92">
            <v>3865153</v>
          </cell>
        </row>
        <row r="93">
          <cell r="C93" t="str">
            <v>Vikas Sharma &amp; Divya Sharma</v>
          </cell>
          <cell r="D93" t="str">
            <v>B-203</v>
          </cell>
          <cell r="E93">
            <v>5064620</v>
          </cell>
        </row>
        <row r="94">
          <cell r="C94" t="str">
            <v>Veena Gupta</v>
          </cell>
          <cell r="D94" t="str">
            <v>A-1101</v>
          </cell>
          <cell r="E94">
            <v>6557719</v>
          </cell>
        </row>
        <row r="95">
          <cell r="C95" t="str">
            <v>Vijay Kumar Tanwar</v>
          </cell>
          <cell r="D95" t="str">
            <v>A-502</v>
          </cell>
          <cell r="E95">
            <v>6914956</v>
          </cell>
        </row>
        <row r="96">
          <cell r="C96" t="str">
            <v>Vineet Gehani &amp; Vani Gehani</v>
          </cell>
          <cell r="D96" t="str">
            <v>C-403</v>
          </cell>
          <cell r="E96">
            <v>4601237</v>
          </cell>
        </row>
        <row r="97">
          <cell r="C97" t="str">
            <v>Mahesh Dutt Kala</v>
          </cell>
          <cell r="D97" t="str">
            <v>A-501</v>
          </cell>
          <cell r="E97">
            <v>8066257</v>
          </cell>
        </row>
        <row r="98">
          <cell r="C98" t="str">
            <v>Kailash Kumari &amp; Tulsi Dass Saluja</v>
          </cell>
          <cell r="D98" t="str">
            <v>B-1102</v>
          </cell>
          <cell r="E98">
            <v>5939530</v>
          </cell>
        </row>
        <row r="99">
          <cell r="C99" t="str">
            <v>Laxman Aggarwal</v>
          </cell>
          <cell r="D99" t="str">
            <v>B-1201</v>
          </cell>
          <cell r="E99">
            <v>5620901</v>
          </cell>
        </row>
        <row r="100">
          <cell r="C100" t="str">
            <v>Himanshu Shekhar</v>
          </cell>
          <cell r="D100" t="str">
            <v>D-701</v>
          </cell>
          <cell r="E100">
            <v>9025671</v>
          </cell>
        </row>
        <row r="101">
          <cell r="C101" t="str">
            <v>Nini Nanda</v>
          </cell>
          <cell r="D101" t="str">
            <v>F-1402</v>
          </cell>
          <cell r="E101">
            <v>5169696</v>
          </cell>
        </row>
        <row r="102">
          <cell r="C102" t="str">
            <v>Arun Kharb &amp; Mrs. Sarita Sangwan</v>
          </cell>
          <cell r="D102" t="str">
            <v>A-003</v>
          </cell>
          <cell r="E102">
            <v>5851345</v>
          </cell>
        </row>
        <row r="103">
          <cell r="C103" t="str">
            <v>Amit Kumar</v>
          </cell>
          <cell r="D103" t="str">
            <v>A-301</v>
          </cell>
          <cell r="E103">
            <v>5660134</v>
          </cell>
        </row>
        <row r="104">
          <cell r="C104" t="str">
            <v>Ravinder Aggarwal</v>
          </cell>
          <cell r="D104" t="str">
            <v>B-1203</v>
          </cell>
          <cell r="E104">
            <v>5861468</v>
          </cell>
        </row>
        <row r="105">
          <cell r="C105" t="str">
            <v>Cristina Patnaik</v>
          </cell>
          <cell r="D105" t="str">
            <v>G-602</v>
          </cell>
          <cell r="E105">
            <v>6180551</v>
          </cell>
        </row>
        <row r="106">
          <cell r="C106" t="str">
            <v xml:space="preserve">Godawri Capital Private Limited </v>
          </cell>
          <cell r="D106" t="str">
            <v>G-1801</v>
          </cell>
          <cell r="E106">
            <v>0</v>
          </cell>
        </row>
        <row r="107">
          <cell r="C107" t="str">
            <v>Maya Patnaik</v>
          </cell>
          <cell r="D107" t="str">
            <v>A-1502</v>
          </cell>
          <cell r="E107">
            <v>1332125</v>
          </cell>
        </row>
        <row r="108">
          <cell r="C108" t="str">
            <v>Sawallka Autotech Private Limited</v>
          </cell>
          <cell r="D108" t="str">
            <v>A-1801</v>
          </cell>
          <cell r="E108">
            <v>0</v>
          </cell>
        </row>
        <row r="109">
          <cell r="C109" t="str">
            <v>Priyanka Jain</v>
          </cell>
          <cell r="D109" t="str">
            <v>D-1403</v>
          </cell>
          <cell r="E109">
            <v>5812622</v>
          </cell>
        </row>
        <row r="110">
          <cell r="C110" t="str">
            <v>Manoj Rajpal &amp; Mrs. Nisha Rajpal</v>
          </cell>
          <cell r="D110" t="str">
            <v>F-703</v>
          </cell>
          <cell r="E110">
            <v>6313266</v>
          </cell>
        </row>
        <row r="111">
          <cell r="C111" t="str">
            <v>Sumit Ginglani</v>
          </cell>
          <cell r="D111" t="str">
            <v>A-1403</v>
          </cell>
          <cell r="E111">
            <v>5484374</v>
          </cell>
        </row>
        <row r="112">
          <cell r="C112" t="str">
            <v>Sangeeta Arya</v>
          </cell>
          <cell r="D112" t="str">
            <v>B-501</v>
          </cell>
          <cell r="E112">
            <v>5686550</v>
          </cell>
        </row>
        <row r="113">
          <cell r="C113" t="str">
            <v>Veni Rastogi Gupta</v>
          </cell>
          <cell r="D113" t="str">
            <v>E-1102</v>
          </cell>
          <cell r="E113">
            <v>7666237</v>
          </cell>
        </row>
        <row r="114">
          <cell r="C114" t="str">
            <v>Kalpana</v>
          </cell>
          <cell r="D114" t="str">
            <v>A-1203</v>
          </cell>
          <cell r="E114">
            <v>5914956</v>
          </cell>
        </row>
        <row r="115">
          <cell r="C115" t="str">
            <v>Amit Gupta &amp; Daksh Goyal</v>
          </cell>
          <cell r="D115" t="str">
            <v>C-202</v>
          </cell>
          <cell r="E115">
            <v>4913942</v>
          </cell>
        </row>
        <row r="116">
          <cell r="C116" t="str">
            <v>Poonam Munjal &amp; Prem Munjal</v>
          </cell>
          <cell r="D116" t="str">
            <v>C-1703</v>
          </cell>
          <cell r="E116">
            <v>5141587</v>
          </cell>
        </row>
        <row r="117">
          <cell r="C117" t="str">
            <v>Aditya Mehta</v>
          </cell>
          <cell r="D117" t="str">
            <v>C-103</v>
          </cell>
          <cell r="E117">
            <v>6150917</v>
          </cell>
        </row>
        <row r="118">
          <cell r="C118" t="str">
            <v>Sandeep Maurya</v>
          </cell>
          <cell r="D118" t="str">
            <v>G-103</v>
          </cell>
          <cell r="E118">
            <v>13375494</v>
          </cell>
        </row>
        <row r="119">
          <cell r="C119" t="str">
            <v>Sanjay Kumar Sehgal</v>
          </cell>
          <cell r="D119" t="str">
            <v>A-1803</v>
          </cell>
          <cell r="E119">
            <v>9077121</v>
          </cell>
        </row>
        <row r="120">
          <cell r="C120" t="str">
            <v>Anita Yadav</v>
          </cell>
          <cell r="D120" t="str">
            <v>B-002</v>
          </cell>
          <cell r="E120">
            <v>5983759</v>
          </cell>
        </row>
        <row r="121">
          <cell r="C121" t="str">
            <v>Mrs. Bina Ramani Kewal</v>
          </cell>
          <cell r="D121" t="str">
            <v>F-1201</v>
          </cell>
          <cell r="E121">
            <v>5999242</v>
          </cell>
        </row>
        <row r="122">
          <cell r="C122" t="str">
            <v>Mr. Sandeep Garg/Ranjana</v>
          </cell>
          <cell r="D122" t="str">
            <v>B-1001</v>
          </cell>
          <cell r="E122">
            <v>5683387</v>
          </cell>
        </row>
        <row r="123">
          <cell r="C123" t="str">
            <v>Ms. Shikha Trehan</v>
          </cell>
          <cell r="D123" t="str">
            <v>D-802</v>
          </cell>
          <cell r="E123">
            <v>5699958</v>
          </cell>
        </row>
        <row r="124">
          <cell r="C124" t="str">
            <v>Mr. Abhishek Dhingra</v>
          </cell>
          <cell r="D124" t="str">
            <v>D-402</v>
          </cell>
          <cell r="E124">
            <v>6250112</v>
          </cell>
        </row>
        <row r="125">
          <cell r="C125" t="str">
            <v>Dinesh Upadhyay</v>
          </cell>
          <cell r="D125" t="str">
            <v xml:space="preserve">C-903 </v>
          </cell>
          <cell r="E125">
            <v>4998981</v>
          </cell>
        </row>
        <row r="126">
          <cell r="C126" t="str">
            <v xml:space="preserve">Mallika Batra &amp; Charanjeev Batra </v>
          </cell>
          <cell r="D126" t="str">
            <v xml:space="preserve">G-501 </v>
          </cell>
          <cell r="E126">
            <v>9948191</v>
          </cell>
        </row>
        <row r="127">
          <cell r="C127" t="str">
            <v xml:space="preserve">Sanjay Gupta </v>
          </cell>
          <cell r="D127" t="str">
            <v xml:space="preserve">B-1202 </v>
          </cell>
          <cell r="E127">
            <v>6047062</v>
          </cell>
        </row>
        <row r="128">
          <cell r="C128" t="str">
            <v>Neeru Bansal</v>
          </cell>
          <cell r="D128" t="str">
            <v xml:space="preserve">E-1702 </v>
          </cell>
          <cell r="E128">
            <v>8800000</v>
          </cell>
        </row>
        <row r="129">
          <cell r="C129" t="str">
            <v>Ankit Goel and Deepali Goel</v>
          </cell>
          <cell r="D129" t="str">
            <v xml:space="preserve">C-1603 </v>
          </cell>
          <cell r="E129">
            <v>5878153</v>
          </cell>
        </row>
        <row r="130">
          <cell r="C130" t="str">
            <v xml:space="preserve">Rajesh Jain </v>
          </cell>
          <cell r="D130" t="str">
            <v xml:space="preserve">D-803 </v>
          </cell>
          <cell r="E130">
            <v>4819348</v>
          </cell>
        </row>
        <row r="131">
          <cell r="C131" t="str">
            <v xml:space="preserve">Sumeet Dhiman &amp; Vineeta Dhiman </v>
          </cell>
          <cell r="D131" t="str">
            <v xml:space="preserve">C- 1103 </v>
          </cell>
          <cell r="E131">
            <v>5101716</v>
          </cell>
        </row>
        <row r="132">
          <cell r="C132" t="str">
            <v>Ajit Singh Sethi</v>
          </cell>
          <cell r="D132" t="str">
            <v xml:space="preserve">C- 703 </v>
          </cell>
          <cell r="E132">
            <v>5325203</v>
          </cell>
        </row>
        <row r="133">
          <cell r="C133" t="str">
            <v>Golden Realtors Private Limited</v>
          </cell>
          <cell r="D133" t="str">
            <v xml:space="preserve">A-702  </v>
          </cell>
          <cell r="E133">
            <v>3386872</v>
          </cell>
        </row>
        <row r="134">
          <cell r="C134" t="str">
            <v>Golden Realtors Private Limited</v>
          </cell>
          <cell r="D134" t="str">
            <v xml:space="preserve">B-902  </v>
          </cell>
          <cell r="E134">
            <v>2949509</v>
          </cell>
        </row>
        <row r="135">
          <cell r="C135" t="str">
            <v>Golden Realtors Private Limited</v>
          </cell>
          <cell r="D135" t="str">
            <v xml:space="preserve">G-1102  </v>
          </cell>
          <cell r="E135">
            <v>5223640</v>
          </cell>
        </row>
        <row r="136">
          <cell r="C136" t="str">
            <v>Golden Realtors Private Limited</v>
          </cell>
          <cell r="D136" t="str">
            <v xml:space="preserve">G-1103  </v>
          </cell>
          <cell r="E136">
            <v>5823621</v>
          </cell>
        </row>
        <row r="137">
          <cell r="C137" t="str">
            <v>Golden Realtors Private Limited</v>
          </cell>
          <cell r="D137" t="str">
            <v xml:space="preserve">G-1201  </v>
          </cell>
          <cell r="E137">
            <v>5479343</v>
          </cell>
        </row>
        <row r="138">
          <cell r="C138" t="str">
            <v>Himanshu Aggarwal</v>
          </cell>
          <cell r="D138" t="str">
            <v xml:space="preserve">C-1503  </v>
          </cell>
          <cell r="E138">
            <v>6047062</v>
          </cell>
        </row>
        <row r="139">
          <cell r="C139" t="str">
            <v>Sanjay Jain</v>
          </cell>
          <cell r="D139" t="str">
            <v xml:space="preserve">E-1603  </v>
          </cell>
          <cell r="E139">
            <v>7888665</v>
          </cell>
        </row>
        <row r="140">
          <cell r="C140" t="str">
            <v>Aayush Mattoo</v>
          </cell>
          <cell r="D140" t="str">
            <v xml:space="preserve">E-703  </v>
          </cell>
          <cell r="E140">
            <v>7684693</v>
          </cell>
        </row>
        <row r="141">
          <cell r="C141" t="str">
            <v>Gurmukh S Asnani</v>
          </cell>
          <cell r="D141" t="str">
            <v xml:space="preserve">B-802  </v>
          </cell>
          <cell r="E141">
            <v>6656082</v>
          </cell>
        </row>
        <row r="142">
          <cell r="C142" t="str">
            <v>Dwijinder Parkash/mohinder Parkash</v>
          </cell>
          <cell r="D142" t="str">
            <v xml:space="preserve">E-201  </v>
          </cell>
          <cell r="E142">
            <v>7833403</v>
          </cell>
        </row>
        <row r="143">
          <cell r="C143" t="str">
            <v>Abhinay Vaidya/ Madhu Vaidya</v>
          </cell>
          <cell r="D143" t="str">
            <v xml:space="preserve">D-1003  </v>
          </cell>
          <cell r="E143">
            <v>5759760</v>
          </cell>
        </row>
        <row r="144">
          <cell r="C144" t="str">
            <v>Nisha Rani Bansal/satish Chander</v>
          </cell>
          <cell r="D144" t="str">
            <v xml:space="preserve">C-501  </v>
          </cell>
          <cell r="E144">
            <v>5567136</v>
          </cell>
        </row>
        <row r="145">
          <cell r="C145" t="str">
            <v>Kirti Nidhi Vig</v>
          </cell>
          <cell r="D145" t="str">
            <v xml:space="preserve">B-601  </v>
          </cell>
          <cell r="E145">
            <v>5670007</v>
          </cell>
        </row>
        <row r="146">
          <cell r="C146" t="str">
            <v>Kamayani Kanwar</v>
          </cell>
          <cell r="D146" t="str">
            <v xml:space="preserve">D-503  </v>
          </cell>
          <cell r="E146">
            <v>3657502</v>
          </cell>
        </row>
        <row r="147">
          <cell r="C147" t="str">
            <v>Zara Buildcon Pvt Ltd</v>
          </cell>
          <cell r="D147" t="str">
            <v xml:space="preserve">A-703  </v>
          </cell>
          <cell r="E147">
            <v>3501808</v>
          </cell>
        </row>
        <row r="148">
          <cell r="C148" t="str">
            <v>Arun Kumar Puri</v>
          </cell>
          <cell r="D148" t="str">
            <v xml:space="preserve">D-603  </v>
          </cell>
          <cell r="E148">
            <v>3583527</v>
          </cell>
        </row>
        <row r="149">
          <cell r="C149" t="str">
            <v>Shahab Rizvi /Raj Deepak Varshney</v>
          </cell>
          <cell r="D149" t="str">
            <v xml:space="preserve">E-602  </v>
          </cell>
          <cell r="E149">
            <v>7879243</v>
          </cell>
        </row>
        <row r="150">
          <cell r="C150" t="str">
            <v>Lubna Rehman and Mafzur Rehman</v>
          </cell>
          <cell r="D150" t="str">
            <v xml:space="preserve">A-603  </v>
          </cell>
          <cell r="E150">
            <v>5196812</v>
          </cell>
        </row>
        <row r="151">
          <cell r="C151" t="str">
            <v>Munish Dayal Mathur</v>
          </cell>
          <cell r="D151" t="str">
            <v xml:space="preserve">C-701  </v>
          </cell>
          <cell r="E151">
            <v>6693998</v>
          </cell>
        </row>
        <row r="152">
          <cell r="C152" t="str">
            <v>Joy Realtors Pvt.Ltd</v>
          </cell>
          <cell r="D152" t="str">
            <v xml:space="preserve">F-503  </v>
          </cell>
          <cell r="E152">
            <v>6508688</v>
          </cell>
        </row>
        <row r="153">
          <cell r="C153" t="str">
            <v>Namita Mahajan</v>
          </cell>
          <cell r="D153" t="str">
            <v xml:space="preserve">B-901  </v>
          </cell>
          <cell r="E153">
            <v>3405888</v>
          </cell>
        </row>
        <row r="154">
          <cell r="C154" t="str">
            <v>Sachin Chhabra</v>
          </cell>
          <cell r="D154" t="str">
            <v xml:space="preserve">B-603  </v>
          </cell>
          <cell r="E154">
            <v>6039929</v>
          </cell>
        </row>
        <row r="155">
          <cell r="C155" t="str">
            <v>Shailesh Kant Sharma</v>
          </cell>
          <cell r="D155" t="str">
            <v xml:space="preserve">C-402  </v>
          </cell>
          <cell r="E155">
            <v>4623149</v>
          </cell>
        </row>
        <row r="156">
          <cell r="C156" t="str">
            <v>Anil Kumar Grover and Indu Grover</v>
          </cell>
          <cell r="D156" t="str">
            <v xml:space="preserve">B-801  </v>
          </cell>
          <cell r="E156">
            <v>5583596</v>
          </cell>
        </row>
        <row r="157">
          <cell r="C157" t="str">
            <v>Rahul Nahar</v>
          </cell>
          <cell r="D157" t="str">
            <v xml:space="preserve">C-1501  </v>
          </cell>
          <cell r="E157">
            <v>5945767</v>
          </cell>
        </row>
        <row r="158">
          <cell r="C158" t="str">
            <v>Kusum Garg</v>
          </cell>
          <cell r="D158" t="str">
            <v xml:space="preserve">F-202  </v>
          </cell>
          <cell r="E158">
            <v>6597080</v>
          </cell>
        </row>
        <row r="159">
          <cell r="C159" t="str">
            <v>Mohammad Umer Ansari</v>
          </cell>
          <cell r="D159" t="str">
            <v xml:space="preserve">A-901  </v>
          </cell>
          <cell r="E159">
            <v>6172015</v>
          </cell>
        </row>
        <row r="160">
          <cell r="C160" t="str">
            <v>Manisha Sachdeva/ Sabrina Sachdeva</v>
          </cell>
          <cell r="D160" t="str">
            <v xml:space="preserve">B-1702  </v>
          </cell>
          <cell r="E160">
            <v>7022600</v>
          </cell>
        </row>
        <row r="161">
          <cell r="C161" t="str">
            <v>Vipul Sharma</v>
          </cell>
          <cell r="D161" t="str">
            <v xml:space="preserve">F-602  </v>
          </cell>
          <cell r="E161">
            <v>6508196</v>
          </cell>
        </row>
        <row r="162">
          <cell r="C162" t="str">
            <v>Sanjay Kumar</v>
          </cell>
          <cell r="D162" t="str">
            <v xml:space="preserve">G-1202  </v>
          </cell>
          <cell r="E162">
            <v>8405689</v>
          </cell>
        </row>
        <row r="163">
          <cell r="C163" t="str">
            <v>Babulal Swami &amp; Kanta Devi</v>
          </cell>
          <cell r="D163" t="str">
            <v xml:space="preserve">B-202  </v>
          </cell>
          <cell r="E163">
            <v>5947060</v>
          </cell>
        </row>
        <row r="164">
          <cell r="C164" t="str">
            <v>Tilak Raj Ganga Ram /pushpa Tilakraj</v>
          </cell>
          <cell r="D164" t="str">
            <v xml:space="preserve">F-902  </v>
          </cell>
          <cell r="E164">
            <v>6823071</v>
          </cell>
        </row>
        <row r="165">
          <cell r="C165" t="str">
            <v>Tilak Raj Ganga Ram /pushpa Tilakraj</v>
          </cell>
          <cell r="D165" t="str">
            <v xml:space="preserve">F-903  </v>
          </cell>
          <cell r="E165">
            <v>6823071</v>
          </cell>
        </row>
        <row r="166">
          <cell r="C166" t="str">
            <v>Santokh Singh Ent.P.Ltd.</v>
          </cell>
          <cell r="D166" t="str">
            <v xml:space="preserve">C-702  </v>
          </cell>
          <cell r="E166">
            <v>5328478</v>
          </cell>
        </row>
        <row r="167">
          <cell r="C167" t="str">
            <v>Naresh Kumar Tilak Raj Bahri</v>
          </cell>
          <cell r="D167" t="str">
            <v xml:space="preserve">F-802  </v>
          </cell>
          <cell r="E167">
            <v>6809280</v>
          </cell>
        </row>
        <row r="168">
          <cell r="C168" t="str">
            <v>Sanjiv Ramesh Kochhar</v>
          </cell>
          <cell r="D168" t="str">
            <v xml:space="preserve">F-803  </v>
          </cell>
          <cell r="E168">
            <v>6810814</v>
          </cell>
        </row>
        <row r="169">
          <cell r="C169" t="str">
            <v>Rimple Dhiraaj</v>
          </cell>
          <cell r="D169" t="str">
            <v xml:space="preserve">B-1103  </v>
          </cell>
          <cell r="E169">
            <v>6032796</v>
          </cell>
        </row>
        <row r="170">
          <cell r="C170" t="str">
            <v>Asha Garg</v>
          </cell>
          <cell r="D170" t="str">
            <v>E-302</v>
          </cell>
          <cell r="E170">
            <v>6572472</v>
          </cell>
        </row>
        <row r="171">
          <cell r="C171" t="str">
            <v>Harinder Singh/ Swaran Kaur</v>
          </cell>
          <cell r="D171" t="str">
            <v>B-1003</v>
          </cell>
          <cell r="E171">
            <v>3800026</v>
          </cell>
        </row>
        <row r="172">
          <cell r="C172" t="str">
            <v>Waryam Singh</v>
          </cell>
          <cell r="D172" t="str">
            <v>C-502</v>
          </cell>
          <cell r="E172">
            <v>6051498</v>
          </cell>
        </row>
        <row r="173">
          <cell r="C173" t="str">
            <v>R.S Manti / Santokh Mantri</v>
          </cell>
          <cell r="D173" t="str">
            <v>A-1603</v>
          </cell>
          <cell r="E173">
            <v>4721967</v>
          </cell>
        </row>
        <row r="174">
          <cell r="C174" t="str">
            <v>Sashwat Sharma</v>
          </cell>
          <cell r="D174" t="str">
            <v>C-802</v>
          </cell>
          <cell r="E174">
            <v>3042720</v>
          </cell>
        </row>
        <row r="175">
          <cell r="C175" t="str">
            <v>Sachin Virmani</v>
          </cell>
          <cell r="D175" t="str">
            <v>A-903</v>
          </cell>
          <cell r="E175">
            <v>6239642</v>
          </cell>
        </row>
        <row r="176">
          <cell r="C176" t="str">
            <v>Prerna Garg &amp; R.C Garg</v>
          </cell>
          <cell r="D176" t="str">
            <v>D-703</v>
          </cell>
          <cell r="E176">
            <v>7739161</v>
          </cell>
        </row>
        <row r="177">
          <cell r="C177" t="str">
            <v>Ashok Kumar Ponniah</v>
          </cell>
          <cell r="D177" t="str">
            <v>C-1202</v>
          </cell>
          <cell r="E177">
            <v>6055369</v>
          </cell>
        </row>
        <row r="178">
          <cell r="C178" t="str">
            <v>Kapil N Vaid</v>
          </cell>
          <cell r="D178" t="str">
            <v>A-1102</v>
          </cell>
          <cell r="E178">
            <v>6899144</v>
          </cell>
        </row>
        <row r="179">
          <cell r="C179" t="str">
            <v>Vinita &amp; Dinesh Bhutani</v>
          </cell>
          <cell r="D179" t="str">
            <v>C-902</v>
          </cell>
          <cell r="E179">
            <v>4941996</v>
          </cell>
        </row>
        <row r="180">
          <cell r="C180" t="str">
            <v xml:space="preserve">Mrs. Sheekha Gupta </v>
          </cell>
          <cell r="D180" t="str">
            <v>A-402</v>
          </cell>
          <cell r="E180">
            <v>5683451</v>
          </cell>
        </row>
        <row r="181">
          <cell r="C181" t="str">
            <v xml:space="preserve">Mrs. Usha Devi </v>
          </cell>
          <cell r="D181" t="str">
            <v>E-202</v>
          </cell>
          <cell r="E181">
            <v>6581946</v>
          </cell>
        </row>
        <row r="182">
          <cell r="C182" t="str">
            <v xml:space="preserve">Mr. Kavin Gupta </v>
          </cell>
          <cell r="D182" t="str">
            <v>C-301</v>
          </cell>
          <cell r="E182">
            <v>4963039</v>
          </cell>
        </row>
        <row r="183">
          <cell r="C183" t="str">
            <v>Mina Chauhan / Push Lata Chauhan</v>
          </cell>
          <cell r="D183" t="str">
            <v>C-801</v>
          </cell>
          <cell r="E183">
            <v>5683386</v>
          </cell>
        </row>
        <row r="184">
          <cell r="C184" t="str">
            <v>Vinod Kumar Bapna</v>
          </cell>
          <cell r="D184" t="str">
            <v>A-803</v>
          </cell>
          <cell r="E184">
            <v>6920350</v>
          </cell>
        </row>
        <row r="185">
          <cell r="C185" t="str">
            <v>Rajan Rakheja</v>
          </cell>
          <cell r="D185" t="str">
            <v>E-1602</v>
          </cell>
          <cell r="E185">
            <v>6131075</v>
          </cell>
        </row>
        <row r="186">
          <cell r="C186" t="str">
            <v>Bijender Malik</v>
          </cell>
          <cell r="D186" t="str">
            <v>B-303</v>
          </cell>
          <cell r="E186">
            <v>5236250</v>
          </cell>
        </row>
        <row r="187">
          <cell r="C187" t="str">
            <v>Karuna Sharma / Vinod Kumar Sharma</v>
          </cell>
          <cell r="D187" t="str">
            <v>F-1602</v>
          </cell>
          <cell r="E187">
            <v>7088919</v>
          </cell>
        </row>
        <row r="188">
          <cell r="C188" t="str">
            <v>Naveen Kumar / Varun Dhar</v>
          </cell>
          <cell r="D188" t="str">
            <v>C-901</v>
          </cell>
          <cell r="E188">
            <v>5022506</v>
          </cell>
        </row>
        <row r="189">
          <cell r="C189" t="str">
            <v>Surender Kumar / Savita Devi</v>
          </cell>
          <cell r="D189" t="str">
            <v>C-0002</v>
          </cell>
          <cell r="E189">
            <v>5708286</v>
          </cell>
        </row>
        <row r="190">
          <cell r="C190" t="str">
            <v>Ajay Kohli</v>
          </cell>
          <cell r="D190" t="str">
            <v>D-501</v>
          </cell>
          <cell r="E190">
            <v>3792622</v>
          </cell>
        </row>
        <row r="191">
          <cell r="C191" t="str">
            <v>Babita Yadav</v>
          </cell>
          <cell r="D191" t="str">
            <v>B-301</v>
          </cell>
          <cell r="E191">
            <v>4718610</v>
          </cell>
        </row>
        <row r="192">
          <cell r="C192" t="str">
            <v>Ajeet Jadon / Raj Kumar Singh</v>
          </cell>
          <cell r="D192" t="str">
            <v>C-1001</v>
          </cell>
          <cell r="E192">
            <v>5746689</v>
          </cell>
        </row>
        <row r="193">
          <cell r="C193" t="str">
            <v>Ajeet Jadon / Raj Kumar Singh</v>
          </cell>
          <cell r="D193" t="str">
            <v>C-1101</v>
          </cell>
          <cell r="E193">
            <v>5681739</v>
          </cell>
        </row>
        <row r="194">
          <cell r="C194" t="str">
            <v>Akshay Mohan / Kapil Sharma / Gurbir Singh</v>
          </cell>
          <cell r="D194" t="str">
            <v>C-1403</v>
          </cell>
          <cell r="E194">
            <v>5714405</v>
          </cell>
        </row>
        <row r="195">
          <cell r="C195" t="str">
            <v>Arun Jain</v>
          </cell>
          <cell r="D195" t="str">
            <v>A-403</v>
          </cell>
          <cell r="E195">
            <v>5728739</v>
          </cell>
        </row>
        <row r="196">
          <cell r="C196" t="str">
            <v>Bhupesh Suri</v>
          </cell>
          <cell r="D196" t="str">
            <v>F-1502</v>
          </cell>
          <cell r="E196">
            <v>6952636</v>
          </cell>
        </row>
        <row r="197">
          <cell r="C197" t="str">
            <v>Devinder Singh</v>
          </cell>
          <cell r="D197" t="str">
            <v>C-1201</v>
          </cell>
          <cell r="E197">
            <v>4861930</v>
          </cell>
        </row>
        <row r="198">
          <cell r="C198" t="str">
            <v>Olga Miranda / Derrick Miranda</v>
          </cell>
          <cell r="D198" t="str">
            <v>A-902</v>
          </cell>
          <cell r="E198">
            <v>6928494</v>
          </cell>
        </row>
        <row r="199">
          <cell r="C199" t="str">
            <v>Vishal Singh Yadav</v>
          </cell>
          <cell r="D199" t="str">
            <v>A-302</v>
          </cell>
          <cell r="E199">
            <v>6934067</v>
          </cell>
        </row>
        <row r="200">
          <cell r="C200" t="str">
            <v>Gopal Krishan</v>
          </cell>
          <cell r="D200" t="str">
            <v>A-1401</v>
          </cell>
          <cell r="E200">
            <v>5456848</v>
          </cell>
        </row>
        <row r="201">
          <cell r="C201" t="str">
            <v>Jagdish Kumar Arora / Rajender Arora</v>
          </cell>
          <cell r="D201" t="str">
            <v>A-602</v>
          </cell>
          <cell r="E201">
            <v>5333803</v>
          </cell>
        </row>
        <row r="202">
          <cell r="C202" t="str">
            <v>Kushagra Katariya</v>
          </cell>
          <cell r="D202" t="str">
            <v>B-903</v>
          </cell>
          <cell r="E202">
            <v>3003272</v>
          </cell>
        </row>
        <row r="203">
          <cell r="C203" t="str">
            <v>Kushagra Katariya</v>
          </cell>
          <cell r="D203" t="str">
            <v>D-502</v>
          </cell>
          <cell r="E203">
            <v>3644055</v>
          </cell>
        </row>
        <row r="204">
          <cell r="C204" t="str">
            <v>Lalit Kumar Agarwal</v>
          </cell>
          <cell r="D204" t="str">
            <v>C-603</v>
          </cell>
          <cell r="E204">
            <v>5811638</v>
          </cell>
        </row>
        <row r="205">
          <cell r="C205" t="str">
            <v>Lokesh Yadav / Suman Katoch</v>
          </cell>
          <cell r="D205" t="str">
            <v>B-701</v>
          </cell>
          <cell r="E205">
            <v>5657495</v>
          </cell>
        </row>
        <row r="206">
          <cell r="C206" t="str">
            <v>Nidhi Johri</v>
          </cell>
          <cell r="D206" t="str">
            <v>F-402</v>
          </cell>
          <cell r="E206">
            <v>7518495</v>
          </cell>
        </row>
        <row r="207">
          <cell r="C207" t="str">
            <v>Malini Sachdeva Kaushik / Arvind Sachdeva</v>
          </cell>
          <cell r="D207" t="str">
            <v>D-1602</v>
          </cell>
          <cell r="E207">
            <v>6023755</v>
          </cell>
        </row>
        <row r="208">
          <cell r="C208" t="str">
            <v>Preeti Yadav / Deepak Yadav</v>
          </cell>
          <cell r="D208" t="str">
            <v>F-1202</v>
          </cell>
          <cell r="E208">
            <v>4795259</v>
          </cell>
        </row>
        <row r="209">
          <cell r="C209" t="str">
            <v>Rahul Gupta</v>
          </cell>
          <cell r="D209" t="str">
            <v>A-1003</v>
          </cell>
          <cell r="E209">
            <v>5664432</v>
          </cell>
        </row>
        <row r="210">
          <cell r="C210" t="str">
            <v>Harshinder Singh / Radhika Singh</v>
          </cell>
          <cell r="D210" t="str">
            <v>F-201</v>
          </cell>
          <cell r="E210">
            <v>8603248</v>
          </cell>
        </row>
        <row r="211">
          <cell r="C211" t="str">
            <v>Rohit Sharma</v>
          </cell>
          <cell r="D211" t="str">
            <v>C-1602</v>
          </cell>
          <cell r="E211">
            <v>6153287</v>
          </cell>
        </row>
        <row r="212">
          <cell r="C212" t="str">
            <v>Gaurav Saxena / Roopa Saxena</v>
          </cell>
          <cell r="D212" t="str">
            <v>B-003</v>
          </cell>
          <cell r="E212">
            <v>5166446</v>
          </cell>
        </row>
        <row r="213">
          <cell r="C213" t="str">
            <v>Sangeeta Garg</v>
          </cell>
          <cell r="D213" t="str">
            <v>F-502</v>
          </cell>
          <cell r="E213">
            <v>7116123</v>
          </cell>
        </row>
        <row r="214">
          <cell r="C214" t="str">
            <v>Utkarsh Yadav / Rajbir Singh Yadav</v>
          </cell>
          <cell r="D214" t="str">
            <v>B-101</v>
          </cell>
          <cell r="E214">
            <v>5815880</v>
          </cell>
        </row>
        <row r="215">
          <cell r="C215" t="str">
            <v>Hema Gupta / Raghav Gupta</v>
          </cell>
          <cell r="D215" t="str">
            <v>E-903</v>
          </cell>
          <cell r="E215">
            <v>8574345</v>
          </cell>
        </row>
        <row r="216">
          <cell r="C216" t="str">
            <v>Shakti Singh Kalaan / Sunita Sighadia Kalaa</v>
          </cell>
          <cell r="D216" t="str">
            <v>E-502</v>
          </cell>
          <cell r="E216">
            <v>5856740</v>
          </cell>
        </row>
        <row r="217">
          <cell r="C217" t="str">
            <v>Manjinder Kaur</v>
          </cell>
          <cell r="D217" t="str">
            <v>B-1002</v>
          </cell>
          <cell r="E217">
            <v>4192931</v>
          </cell>
        </row>
        <row r="218">
          <cell r="C218" t="str">
            <v>Som Prakash Bishnoi</v>
          </cell>
          <cell r="D218" t="str">
            <v>F-302</v>
          </cell>
          <cell r="E218">
            <v>6536017</v>
          </cell>
        </row>
        <row r="219">
          <cell r="C219" t="str">
            <v>Sonal Kalra / Rocky Kalra</v>
          </cell>
          <cell r="D219" t="str">
            <v>C-1003</v>
          </cell>
          <cell r="E219">
            <v>4939234</v>
          </cell>
        </row>
        <row r="220">
          <cell r="C220" t="str">
            <v>Subhash Gumber</v>
          </cell>
          <cell r="D220" t="str">
            <v>C-1601</v>
          </cell>
          <cell r="E220">
            <v>5683417</v>
          </cell>
        </row>
        <row r="221">
          <cell r="C221" t="str">
            <v>Sudeep Mondal</v>
          </cell>
          <cell r="D221" t="str">
            <v>B-1503</v>
          </cell>
          <cell r="E221">
            <v>6081374</v>
          </cell>
        </row>
        <row r="222">
          <cell r="C222" t="str">
            <v>Sujata Gupta</v>
          </cell>
          <cell r="D222" t="str">
            <v>B-803</v>
          </cell>
          <cell r="E222">
            <v>5313766</v>
          </cell>
        </row>
        <row r="223">
          <cell r="C223" t="str">
            <v>Vijay Yadav</v>
          </cell>
          <cell r="D223" t="str">
            <v>C-203</v>
          </cell>
          <cell r="E223">
            <v>4026982</v>
          </cell>
        </row>
        <row r="224">
          <cell r="C224" t="str">
            <v>Kuljit Singh Saini</v>
          </cell>
          <cell r="D224">
            <v>0</v>
          </cell>
          <cell r="E224">
            <v>12401500</v>
          </cell>
        </row>
      </sheetData>
      <sheetData sheetId="1"/>
      <sheetData sheetId="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Anu Gupta"/>
      <sheetName val="Sheet2"/>
    </sheetNames>
    <sheetDataSet>
      <sheetData sheetId="0"/>
      <sheetData sheetId="1">
        <row r="17">
          <cell r="H17">
            <v>3561504.6230136985</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6" Type="http://schemas.openxmlformats.org/officeDocument/2006/relationships/hyperlink" Target="mailto:yadavamit4@gmail.com" TargetMode="External"/><Relationship Id="rId21" Type="http://schemas.openxmlformats.org/officeDocument/2006/relationships/hyperlink" Target="mailto:rk95000@yahoo.com" TargetMode="External"/><Relationship Id="rId34" Type="http://schemas.openxmlformats.org/officeDocument/2006/relationships/hyperlink" Target="mailto:vermavishal2511@gmail.com" TargetMode="External"/><Relationship Id="rId42" Type="http://schemas.openxmlformats.org/officeDocument/2006/relationships/hyperlink" Target="mailto:jogeshsahni@rediffmail.com" TargetMode="External"/><Relationship Id="rId47" Type="http://schemas.openxmlformats.org/officeDocument/2006/relationships/hyperlink" Target="mailto:manavdeeps@gmail.com" TargetMode="External"/><Relationship Id="rId50" Type="http://schemas.openxmlformats.org/officeDocument/2006/relationships/hyperlink" Target="mailto:nishusharawat@yahoo.com" TargetMode="External"/><Relationship Id="rId55" Type="http://schemas.openxmlformats.org/officeDocument/2006/relationships/hyperlink" Target="mailto:ravi.engr84@gmail.com" TargetMode="External"/><Relationship Id="rId63" Type="http://schemas.openxmlformats.org/officeDocument/2006/relationships/hyperlink" Target="mailto:sendvis@gmail.com" TargetMode="External"/><Relationship Id="rId68" Type="http://schemas.openxmlformats.org/officeDocument/2006/relationships/hyperlink" Target="mailto:Sunilbhatt@mindagroup.com" TargetMode="External"/><Relationship Id="rId76" Type="http://schemas.openxmlformats.org/officeDocument/2006/relationships/hyperlink" Target="mailto:npgoyal2001@yahoo.com" TargetMode="External"/><Relationship Id="rId84" Type="http://schemas.openxmlformats.org/officeDocument/2006/relationships/hyperlink" Target="mailto:sx49630@yahoo.com" TargetMode="External"/><Relationship Id="rId89" Type="http://schemas.openxmlformats.org/officeDocument/2006/relationships/hyperlink" Target="mailto:sameer@adabsinghkapoor.com" TargetMode="External"/><Relationship Id="rId97" Type="http://schemas.openxmlformats.org/officeDocument/2006/relationships/hyperlink" Target="mailto:nitz.gulati@yahoo.com" TargetMode="External"/><Relationship Id="rId7" Type="http://schemas.openxmlformats.org/officeDocument/2006/relationships/hyperlink" Target="mailto:arvind_agrawal1@hotmail.com" TargetMode="External"/><Relationship Id="rId71" Type="http://schemas.openxmlformats.org/officeDocument/2006/relationships/hyperlink" Target="mailto:s.agrawal@shigan.net" TargetMode="External"/><Relationship Id="rId92" Type="http://schemas.openxmlformats.org/officeDocument/2006/relationships/hyperlink" Target="mailto:sameer@adabsinghkapoor.com" TargetMode="External"/><Relationship Id="rId2" Type="http://schemas.openxmlformats.org/officeDocument/2006/relationships/hyperlink" Target="mailto:g.agrawal@shigan.net" TargetMode="External"/><Relationship Id="rId16" Type="http://schemas.openxmlformats.org/officeDocument/2006/relationships/hyperlink" Target="mailto:mayapat@gmail.com" TargetMode="External"/><Relationship Id="rId29" Type="http://schemas.openxmlformats.org/officeDocument/2006/relationships/hyperlink" Target="mailto:amit.gupta100@gmail.com" TargetMode="External"/><Relationship Id="rId11" Type="http://schemas.openxmlformats.org/officeDocument/2006/relationships/hyperlink" Target="mailto:s.p.ginglani@gmail.com" TargetMode="External"/><Relationship Id="rId24" Type="http://schemas.openxmlformats.org/officeDocument/2006/relationships/hyperlink" Target="mailto:akhilesh@llca.net" TargetMode="External"/><Relationship Id="rId32" Type="http://schemas.openxmlformats.org/officeDocument/2006/relationships/hyperlink" Target="mailto:balvinder52@yahoo.com" TargetMode="External"/><Relationship Id="rId37" Type="http://schemas.openxmlformats.org/officeDocument/2006/relationships/hyperlink" Target="mailto:jindaldinesh@yahoo.co.in" TargetMode="External"/><Relationship Id="rId40" Type="http://schemas.openxmlformats.org/officeDocument/2006/relationships/hyperlink" Target="mailto:khattarrahul@yahoo.co.in" TargetMode="External"/><Relationship Id="rId45" Type="http://schemas.openxmlformats.org/officeDocument/2006/relationships/hyperlink" Target="mailto:mridul1982@gmail.com" TargetMode="External"/><Relationship Id="rId53" Type="http://schemas.openxmlformats.org/officeDocument/2006/relationships/hyperlink" Target="mailto:prasoon.chauhan.in@gmail.com" TargetMode="External"/><Relationship Id="rId58" Type="http://schemas.openxmlformats.org/officeDocument/2006/relationships/hyperlink" Target="mailto:karan_mehta3@yahoo.com" TargetMode="External"/><Relationship Id="rId66" Type="http://schemas.openxmlformats.org/officeDocument/2006/relationships/hyperlink" Target="mailto:shanker151@gmail.com" TargetMode="External"/><Relationship Id="rId74" Type="http://schemas.openxmlformats.org/officeDocument/2006/relationships/hyperlink" Target="mailto:guptavineet82@gmail.com" TargetMode="External"/><Relationship Id="rId79" Type="http://schemas.openxmlformats.org/officeDocument/2006/relationships/hyperlink" Target="mailto:aditya.mehta35@gmail.com" TargetMode="External"/><Relationship Id="rId87" Type="http://schemas.openxmlformats.org/officeDocument/2006/relationships/hyperlink" Target="mailto:rjain2k@hotmail.com" TargetMode="External"/><Relationship Id="rId5" Type="http://schemas.openxmlformats.org/officeDocument/2006/relationships/hyperlink" Target="mailto:aayush@asa-partners.com" TargetMode="External"/><Relationship Id="rId61" Type="http://schemas.openxmlformats.org/officeDocument/2006/relationships/hyperlink" Target="mailto:gangahar.rakesh@gmail.com" TargetMode="External"/><Relationship Id="rId82" Type="http://schemas.openxmlformats.org/officeDocument/2006/relationships/hyperlink" Target="mailto:cbatra.bsa@bsa.co.in" TargetMode="External"/><Relationship Id="rId90" Type="http://schemas.openxmlformats.org/officeDocument/2006/relationships/hyperlink" Target="mailto:sameer@adabsinghkapoor.com" TargetMode="External"/><Relationship Id="rId95" Type="http://schemas.openxmlformats.org/officeDocument/2006/relationships/hyperlink" Target="mailto:gulshankumarjolly@yahoo.co.in" TargetMode="External"/><Relationship Id="rId19" Type="http://schemas.openxmlformats.org/officeDocument/2006/relationships/hyperlink" Target="mailto:aman_deep05@yahoo.com" TargetMode="External"/><Relationship Id="rId14" Type="http://schemas.openxmlformats.org/officeDocument/2006/relationships/hyperlink" Target="mailto:harpreetsethi28@gmail.com" TargetMode="External"/><Relationship Id="rId22" Type="http://schemas.openxmlformats.org/officeDocument/2006/relationships/hyperlink" Target="mailto:adarshkumar77@yahoo.com" TargetMode="External"/><Relationship Id="rId27" Type="http://schemas.openxmlformats.org/officeDocument/2006/relationships/hyperlink" Target="mailto:veramit1976@gmail.com" TargetMode="External"/><Relationship Id="rId30" Type="http://schemas.openxmlformats.org/officeDocument/2006/relationships/hyperlink" Target="mailto:ajaykag@gmail.com" TargetMode="External"/><Relationship Id="rId35" Type="http://schemas.openxmlformats.org/officeDocument/2006/relationships/hyperlink" Target="mailto:chetanagarwal41@gmail.com" TargetMode="External"/><Relationship Id="rId43" Type="http://schemas.openxmlformats.org/officeDocument/2006/relationships/hyperlink" Target="mailto:jonykuttyvodafone@gmail.com" TargetMode="External"/><Relationship Id="rId48" Type="http://schemas.openxmlformats.org/officeDocument/2006/relationships/hyperlink" Target="mailto:dr.csm54@gmail.com" TargetMode="External"/><Relationship Id="rId56" Type="http://schemas.openxmlformats.org/officeDocument/2006/relationships/hyperlink" Target="mailto:Rajeevaggarwal@mindagroup.com" TargetMode="External"/><Relationship Id="rId64" Type="http://schemas.openxmlformats.org/officeDocument/2006/relationships/hyperlink" Target="mailto:firstsudhir@yahoo.com" TargetMode="External"/><Relationship Id="rId69" Type="http://schemas.openxmlformats.org/officeDocument/2006/relationships/hyperlink" Target="mailto:dps21sk@yahoo.co.in" TargetMode="External"/><Relationship Id="rId77" Type="http://schemas.openxmlformats.org/officeDocument/2006/relationships/hyperlink" Target="mailto:npgoyal2001@yahoo.com" TargetMode="External"/><Relationship Id="rId100" Type="http://schemas.openxmlformats.org/officeDocument/2006/relationships/hyperlink" Target="mailto:hsingh@tenac.net" TargetMode="External"/><Relationship Id="rId8" Type="http://schemas.openxmlformats.org/officeDocument/2006/relationships/hyperlink" Target="mailto:sharmakc52@gmail.com" TargetMode="External"/><Relationship Id="rId51" Type="http://schemas.openxmlformats.org/officeDocument/2006/relationships/hyperlink" Target="mailto:nks464@gmail.com" TargetMode="External"/><Relationship Id="rId72" Type="http://schemas.openxmlformats.org/officeDocument/2006/relationships/hyperlink" Target="mailto:venirgupta@gmail.com" TargetMode="External"/><Relationship Id="rId80" Type="http://schemas.openxmlformats.org/officeDocument/2006/relationships/hyperlink" Target="mailto:sahajvineet@gmail.com" TargetMode="External"/><Relationship Id="rId85" Type="http://schemas.openxmlformats.org/officeDocument/2006/relationships/hyperlink" Target="mailto:bansalneeru@hotmail.com" TargetMode="External"/><Relationship Id="rId93" Type="http://schemas.openxmlformats.org/officeDocument/2006/relationships/hyperlink" Target="mailto:sameer@adabsinghkapoor.com" TargetMode="External"/><Relationship Id="rId98" Type="http://schemas.openxmlformats.org/officeDocument/2006/relationships/hyperlink" Target="mailto:syadavpolsc@gmail.com" TargetMode="External"/><Relationship Id="rId3" Type="http://schemas.openxmlformats.org/officeDocument/2006/relationships/hyperlink" Target="mailto:jpskharta@gmail.com" TargetMode="External"/><Relationship Id="rId12" Type="http://schemas.openxmlformats.org/officeDocument/2006/relationships/hyperlink" Target="mailto:yogesharya2010@gmail.com" TargetMode="External"/><Relationship Id="rId17" Type="http://schemas.openxmlformats.org/officeDocument/2006/relationships/hyperlink" Target="mailto:adv.gjain@gmail.com" TargetMode="External"/><Relationship Id="rId25" Type="http://schemas.openxmlformats.org/officeDocument/2006/relationships/hyperlink" Target="mailto:amitsodhi@gmail.com" TargetMode="External"/><Relationship Id="rId33" Type="http://schemas.openxmlformats.org/officeDocument/2006/relationships/hyperlink" Target="mailto:akmeraagafba@gmail.com" TargetMode="External"/><Relationship Id="rId38" Type="http://schemas.openxmlformats.org/officeDocument/2006/relationships/hyperlink" Target="mailto:jindaldivya89@gmail.com" TargetMode="External"/><Relationship Id="rId46" Type="http://schemas.openxmlformats.org/officeDocument/2006/relationships/hyperlink" Target="mailto:mridul1982@gmail.com" TargetMode="External"/><Relationship Id="rId59" Type="http://schemas.openxmlformats.org/officeDocument/2006/relationships/hyperlink" Target="mailto:ra_mahajan@live.com" TargetMode="External"/><Relationship Id="rId67" Type="http://schemas.openxmlformats.org/officeDocument/2006/relationships/hyperlink" Target="mailto:sandy2015.sa@gmail.com" TargetMode="External"/><Relationship Id="rId20" Type="http://schemas.openxmlformats.org/officeDocument/2006/relationships/hyperlink" Target="mailto:u_anurag@yahoo.com" TargetMode="External"/><Relationship Id="rId41" Type="http://schemas.openxmlformats.org/officeDocument/2006/relationships/hyperlink" Target="mailto:ankuryadav1988@gmail.com" TargetMode="External"/><Relationship Id="rId54" Type="http://schemas.openxmlformats.org/officeDocument/2006/relationships/hyperlink" Target="mailto:raj849@gmail.com" TargetMode="External"/><Relationship Id="rId62" Type="http://schemas.openxmlformats.org/officeDocument/2006/relationships/hyperlink" Target="mailto:aktyad@gmail.com" TargetMode="External"/><Relationship Id="rId70" Type="http://schemas.openxmlformats.org/officeDocument/2006/relationships/hyperlink" Target="mailto:yogarora962@gmail.com" TargetMode="External"/><Relationship Id="rId75" Type="http://schemas.openxmlformats.org/officeDocument/2006/relationships/hyperlink" Target="mailto:guptavineet82@gmail.com" TargetMode="External"/><Relationship Id="rId83" Type="http://schemas.openxmlformats.org/officeDocument/2006/relationships/hyperlink" Target="mailto:dinesh1U@yahoo.co.in" TargetMode="External"/><Relationship Id="rId88" Type="http://schemas.openxmlformats.org/officeDocument/2006/relationships/hyperlink" Target="mailto:sumeet.dhiman67@gmail.com" TargetMode="External"/><Relationship Id="rId91" Type="http://schemas.openxmlformats.org/officeDocument/2006/relationships/hyperlink" Target="mailto:sameer@adabsinghkapoor.com" TargetMode="External"/><Relationship Id="rId96" Type="http://schemas.openxmlformats.org/officeDocument/2006/relationships/hyperlink" Target="mailto:arvindkochar62@gmail.com" TargetMode="External"/><Relationship Id="rId1" Type="http://schemas.openxmlformats.org/officeDocument/2006/relationships/hyperlink" Target="mailto:khattarrahul@yahoo.co.in" TargetMode="External"/><Relationship Id="rId6" Type="http://schemas.openxmlformats.org/officeDocument/2006/relationships/hyperlink" Target="mailto:talwarnaresh52@yahoo.com" TargetMode="External"/><Relationship Id="rId15" Type="http://schemas.openxmlformats.org/officeDocument/2006/relationships/hyperlink" Target="mailto:cristina_patnaik@hotmail.com" TargetMode="External"/><Relationship Id="rId23" Type="http://schemas.openxmlformats.org/officeDocument/2006/relationships/hyperlink" Target="mailto:aluthra@llca.net" TargetMode="External"/><Relationship Id="rId28" Type="http://schemas.openxmlformats.org/officeDocument/2006/relationships/hyperlink" Target="mailto:anant.pokharna@gmail.com" TargetMode="External"/><Relationship Id="rId36" Type="http://schemas.openxmlformats.org/officeDocument/2006/relationships/hyperlink" Target="mailto:nimitvasdev@gmail.com" TargetMode="External"/><Relationship Id="rId49" Type="http://schemas.openxmlformats.org/officeDocument/2006/relationships/hyperlink" Target="mailto:manoj@skmetalgroup.com" TargetMode="External"/><Relationship Id="rId57" Type="http://schemas.openxmlformats.org/officeDocument/2006/relationships/hyperlink" Target="mailto:rkga@rediffmail.com" TargetMode="External"/><Relationship Id="rId10" Type="http://schemas.openxmlformats.org/officeDocument/2006/relationships/hyperlink" Target="mailto:Rajpalmanoj69@gmail.com" TargetMode="External"/><Relationship Id="rId31" Type="http://schemas.openxmlformats.org/officeDocument/2006/relationships/hyperlink" Target="mailto:arun.anand@spadefinancial.com" TargetMode="External"/><Relationship Id="rId44" Type="http://schemas.openxmlformats.org/officeDocument/2006/relationships/hyperlink" Target="mailto:aayush@asa-partners.com" TargetMode="External"/><Relationship Id="rId52" Type="http://schemas.openxmlformats.org/officeDocument/2006/relationships/hyperlink" Target="mailto:naveenchitkara11@gmail.com" TargetMode="External"/><Relationship Id="rId60" Type="http://schemas.openxmlformats.org/officeDocument/2006/relationships/hyperlink" Target="mailto:rahulpratu@gmail.com" TargetMode="External"/><Relationship Id="rId65" Type="http://schemas.openxmlformats.org/officeDocument/2006/relationships/hyperlink" Target="mailto:associated0001@gmail.com" TargetMode="External"/><Relationship Id="rId73" Type="http://schemas.openxmlformats.org/officeDocument/2006/relationships/hyperlink" Target="mailto:ravinderaggarwal08@gmail.com" TargetMode="External"/><Relationship Id="rId78" Type="http://schemas.openxmlformats.org/officeDocument/2006/relationships/hyperlink" Target="mailto:sanjeevkumargarg@gmail.com" TargetMode="External"/><Relationship Id="rId81" Type="http://schemas.openxmlformats.org/officeDocument/2006/relationships/hyperlink" Target="mailto:sahajvineet@gmail.com" TargetMode="External"/><Relationship Id="rId86" Type="http://schemas.openxmlformats.org/officeDocument/2006/relationships/hyperlink" Target="mailto:ankit.g78@gmail.com" TargetMode="External"/><Relationship Id="rId94" Type="http://schemas.openxmlformats.org/officeDocument/2006/relationships/hyperlink" Target="mailto:munish.mathur72@gmail.com" TargetMode="External"/><Relationship Id="rId99" Type="http://schemas.openxmlformats.org/officeDocument/2006/relationships/hyperlink" Target="mailto:bcasha9@gmail.com" TargetMode="External"/><Relationship Id="rId101" Type="http://schemas.openxmlformats.org/officeDocument/2006/relationships/printerSettings" Target="../printerSettings/printerSettings15.bin"/><Relationship Id="rId4" Type="http://schemas.openxmlformats.org/officeDocument/2006/relationships/hyperlink" Target="mailto:manabdutta@yahoo.com" TargetMode="External"/><Relationship Id="rId9" Type="http://schemas.openxmlformats.org/officeDocument/2006/relationships/hyperlink" Target="mailto:amitsehwaginld@gmail.com" TargetMode="External"/><Relationship Id="rId13" Type="http://schemas.openxmlformats.org/officeDocument/2006/relationships/hyperlink" Target="mailto:nininanda01@gmail.com" TargetMode="External"/><Relationship Id="rId18" Type="http://schemas.openxmlformats.org/officeDocument/2006/relationships/hyperlink" Target="mailto:shamsher.54singh@gmail.com" TargetMode="External"/><Relationship Id="rId39" Type="http://schemas.openxmlformats.org/officeDocument/2006/relationships/hyperlink" Target="mailto:Gopal.Thiagarajan@bata.com"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FF0000"/>
  </sheetPr>
  <dimension ref="B1:I79"/>
  <sheetViews>
    <sheetView showWhiteSpace="0" workbookViewId="0">
      <selection activeCell="B17" sqref="B17"/>
    </sheetView>
  </sheetViews>
  <sheetFormatPr defaultRowHeight="15.75"/>
  <cols>
    <col min="1" max="1" width="5.140625" style="1" customWidth="1"/>
    <col min="2" max="2" width="45.5703125" style="1" customWidth="1"/>
    <col min="3" max="3" width="16.140625" style="1" customWidth="1"/>
    <col min="4" max="4" width="20.42578125" style="2" customWidth="1"/>
    <col min="5" max="5" width="20.85546875" style="3" bestFit="1" customWidth="1"/>
    <col min="6" max="6" width="12.5703125" style="1" bestFit="1" customWidth="1"/>
    <col min="7" max="7" width="16.85546875" style="1" bestFit="1" customWidth="1"/>
    <col min="8" max="8" width="15" style="1" bestFit="1" customWidth="1"/>
    <col min="9" max="9" width="20.85546875" style="1" bestFit="1" customWidth="1"/>
    <col min="10" max="10" width="10" style="1" bestFit="1" customWidth="1"/>
    <col min="11" max="256" width="9.140625" style="1"/>
    <col min="257" max="257" width="9" style="1" customWidth="1"/>
    <col min="258" max="258" width="47.5703125" style="1" customWidth="1"/>
    <col min="259" max="259" width="16.5703125" style="1" bestFit="1" customWidth="1"/>
    <col min="260" max="260" width="19.140625" style="1" bestFit="1" customWidth="1"/>
    <col min="261" max="261" width="20.5703125" style="1" bestFit="1" customWidth="1"/>
    <col min="262" max="262" width="12.5703125" style="1" bestFit="1" customWidth="1"/>
    <col min="263" max="263" width="16.85546875" style="1" bestFit="1" customWidth="1"/>
    <col min="264" max="264" width="11.28515625" style="1" bestFit="1" customWidth="1"/>
    <col min="265" max="265" width="20.85546875" style="1" bestFit="1" customWidth="1"/>
    <col min="266" max="266" width="10" style="1" bestFit="1" customWidth="1"/>
    <col min="267" max="512" width="9.140625" style="1"/>
    <col min="513" max="513" width="9" style="1" customWidth="1"/>
    <col min="514" max="514" width="47.5703125" style="1" customWidth="1"/>
    <col min="515" max="515" width="16.5703125" style="1" bestFit="1" customWidth="1"/>
    <col min="516" max="516" width="19.140625" style="1" bestFit="1" customWidth="1"/>
    <col min="517" max="517" width="20.5703125" style="1" bestFit="1" customWidth="1"/>
    <col min="518" max="518" width="12.5703125" style="1" bestFit="1" customWidth="1"/>
    <col min="519" max="519" width="16.85546875" style="1" bestFit="1" customWidth="1"/>
    <col min="520" max="520" width="11.28515625" style="1" bestFit="1" customWidth="1"/>
    <col min="521" max="521" width="20.85546875" style="1" bestFit="1" customWidth="1"/>
    <col min="522" max="522" width="10" style="1" bestFit="1" customWidth="1"/>
    <col min="523" max="768" width="9.140625" style="1"/>
    <col min="769" max="769" width="9" style="1" customWidth="1"/>
    <col min="770" max="770" width="47.5703125" style="1" customWidth="1"/>
    <col min="771" max="771" width="16.5703125" style="1" bestFit="1" customWidth="1"/>
    <col min="772" max="772" width="19.140625" style="1" bestFit="1" customWidth="1"/>
    <col min="773" max="773" width="20.5703125" style="1" bestFit="1" customWidth="1"/>
    <col min="774" max="774" width="12.5703125" style="1" bestFit="1" customWidth="1"/>
    <col min="775" max="775" width="16.85546875" style="1" bestFit="1" customWidth="1"/>
    <col min="776" max="776" width="11.28515625" style="1" bestFit="1" customWidth="1"/>
    <col min="777" max="777" width="20.85546875" style="1" bestFit="1" customWidth="1"/>
    <col min="778" max="778" width="10" style="1" bestFit="1" customWidth="1"/>
    <col min="779" max="1024" width="9.140625" style="1"/>
    <col min="1025" max="1025" width="9" style="1" customWidth="1"/>
    <col min="1026" max="1026" width="47.5703125" style="1" customWidth="1"/>
    <col min="1027" max="1027" width="16.5703125" style="1" bestFit="1" customWidth="1"/>
    <col min="1028" max="1028" width="19.140625" style="1" bestFit="1" customWidth="1"/>
    <col min="1029" max="1029" width="20.5703125" style="1" bestFit="1" customWidth="1"/>
    <col min="1030" max="1030" width="12.5703125" style="1" bestFit="1" customWidth="1"/>
    <col min="1031" max="1031" width="16.85546875" style="1" bestFit="1" customWidth="1"/>
    <col min="1032" max="1032" width="11.28515625" style="1" bestFit="1" customWidth="1"/>
    <col min="1033" max="1033" width="20.85546875" style="1" bestFit="1" customWidth="1"/>
    <col min="1034" max="1034" width="10" style="1" bestFit="1" customWidth="1"/>
    <col min="1035" max="1280" width="9.140625" style="1"/>
    <col min="1281" max="1281" width="9" style="1" customWidth="1"/>
    <col min="1282" max="1282" width="47.5703125" style="1" customWidth="1"/>
    <col min="1283" max="1283" width="16.5703125" style="1" bestFit="1" customWidth="1"/>
    <col min="1284" max="1284" width="19.140625" style="1" bestFit="1" customWidth="1"/>
    <col min="1285" max="1285" width="20.5703125" style="1" bestFit="1" customWidth="1"/>
    <col min="1286" max="1286" width="12.5703125" style="1" bestFit="1" customWidth="1"/>
    <col min="1287" max="1287" width="16.85546875" style="1" bestFit="1" customWidth="1"/>
    <col min="1288" max="1288" width="11.28515625" style="1" bestFit="1" customWidth="1"/>
    <col min="1289" max="1289" width="20.85546875" style="1" bestFit="1" customWidth="1"/>
    <col min="1290" max="1290" width="10" style="1" bestFit="1" customWidth="1"/>
    <col min="1291" max="1536" width="9.140625" style="1"/>
    <col min="1537" max="1537" width="9" style="1" customWidth="1"/>
    <col min="1538" max="1538" width="47.5703125" style="1" customWidth="1"/>
    <col min="1539" max="1539" width="16.5703125" style="1" bestFit="1" customWidth="1"/>
    <col min="1540" max="1540" width="19.140625" style="1" bestFit="1" customWidth="1"/>
    <col min="1541" max="1541" width="20.5703125" style="1" bestFit="1" customWidth="1"/>
    <col min="1542" max="1542" width="12.5703125" style="1" bestFit="1" customWidth="1"/>
    <col min="1543" max="1543" width="16.85546875" style="1" bestFit="1" customWidth="1"/>
    <col min="1544" max="1544" width="11.28515625" style="1" bestFit="1" customWidth="1"/>
    <col min="1545" max="1545" width="20.85546875" style="1" bestFit="1" customWidth="1"/>
    <col min="1546" max="1546" width="10" style="1" bestFit="1" customWidth="1"/>
    <col min="1547" max="1792" width="9.140625" style="1"/>
    <col min="1793" max="1793" width="9" style="1" customWidth="1"/>
    <col min="1794" max="1794" width="47.5703125" style="1" customWidth="1"/>
    <col min="1795" max="1795" width="16.5703125" style="1" bestFit="1" customWidth="1"/>
    <col min="1796" max="1796" width="19.140625" style="1" bestFit="1" customWidth="1"/>
    <col min="1797" max="1797" width="20.5703125" style="1" bestFit="1" customWidth="1"/>
    <col min="1798" max="1798" width="12.5703125" style="1" bestFit="1" customWidth="1"/>
    <col min="1799" max="1799" width="16.85546875" style="1" bestFit="1" customWidth="1"/>
    <col min="1800" max="1800" width="11.28515625" style="1" bestFit="1" customWidth="1"/>
    <col min="1801" max="1801" width="20.85546875" style="1" bestFit="1" customWidth="1"/>
    <col min="1802" max="1802" width="10" style="1" bestFit="1" customWidth="1"/>
    <col min="1803" max="2048" width="9.140625" style="1"/>
    <col min="2049" max="2049" width="9" style="1" customWidth="1"/>
    <col min="2050" max="2050" width="47.5703125" style="1" customWidth="1"/>
    <col min="2051" max="2051" width="16.5703125" style="1" bestFit="1" customWidth="1"/>
    <col min="2052" max="2052" width="19.140625" style="1" bestFit="1" customWidth="1"/>
    <col min="2053" max="2053" width="20.5703125" style="1" bestFit="1" customWidth="1"/>
    <col min="2054" max="2054" width="12.5703125" style="1" bestFit="1" customWidth="1"/>
    <col min="2055" max="2055" width="16.85546875" style="1" bestFit="1" customWidth="1"/>
    <col min="2056" max="2056" width="11.28515625" style="1" bestFit="1" customWidth="1"/>
    <col min="2057" max="2057" width="20.85546875" style="1" bestFit="1" customWidth="1"/>
    <col min="2058" max="2058" width="10" style="1" bestFit="1" customWidth="1"/>
    <col min="2059" max="2304" width="9.140625" style="1"/>
    <col min="2305" max="2305" width="9" style="1" customWidth="1"/>
    <col min="2306" max="2306" width="47.5703125" style="1" customWidth="1"/>
    <col min="2307" max="2307" width="16.5703125" style="1" bestFit="1" customWidth="1"/>
    <col min="2308" max="2308" width="19.140625" style="1" bestFit="1" customWidth="1"/>
    <col min="2309" max="2309" width="20.5703125" style="1" bestFit="1" customWidth="1"/>
    <col min="2310" max="2310" width="12.5703125" style="1" bestFit="1" customWidth="1"/>
    <col min="2311" max="2311" width="16.85546875" style="1" bestFit="1" customWidth="1"/>
    <col min="2312" max="2312" width="11.28515625" style="1" bestFit="1" customWidth="1"/>
    <col min="2313" max="2313" width="20.85546875" style="1" bestFit="1" customWidth="1"/>
    <col min="2314" max="2314" width="10" style="1" bestFit="1" customWidth="1"/>
    <col min="2315" max="2560" width="9.140625" style="1"/>
    <col min="2561" max="2561" width="9" style="1" customWidth="1"/>
    <col min="2562" max="2562" width="47.5703125" style="1" customWidth="1"/>
    <col min="2563" max="2563" width="16.5703125" style="1" bestFit="1" customWidth="1"/>
    <col min="2564" max="2564" width="19.140625" style="1" bestFit="1" customWidth="1"/>
    <col min="2565" max="2565" width="20.5703125" style="1" bestFit="1" customWidth="1"/>
    <col min="2566" max="2566" width="12.5703125" style="1" bestFit="1" customWidth="1"/>
    <col min="2567" max="2567" width="16.85546875" style="1" bestFit="1" customWidth="1"/>
    <col min="2568" max="2568" width="11.28515625" style="1" bestFit="1" customWidth="1"/>
    <col min="2569" max="2569" width="20.85546875" style="1" bestFit="1" customWidth="1"/>
    <col min="2570" max="2570" width="10" style="1" bestFit="1" customWidth="1"/>
    <col min="2571" max="2816" width="9.140625" style="1"/>
    <col min="2817" max="2817" width="9" style="1" customWidth="1"/>
    <col min="2818" max="2818" width="47.5703125" style="1" customWidth="1"/>
    <col min="2819" max="2819" width="16.5703125" style="1" bestFit="1" customWidth="1"/>
    <col min="2820" max="2820" width="19.140625" style="1" bestFit="1" customWidth="1"/>
    <col min="2821" max="2821" width="20.5703125" style="1" bestFit="1" customWidth="1"/>
    <col min="2822" max="2822" width="12.5703125" style="1" bestFit="1" customWidth="1"/>
    <col min="2823" max="2823" width="16.85546875" style="1" bestFit="1" customWidth="1"/>
    <col min="2824" max="2824" width="11.28515625" style="1" bestFit="1" customWidth="1"/>
    <col min="2825" max="2825" width="20.85546875" style="1" bestFit="1" customWidth="1"/>
    <col min="2826" max="2826" width="10" style="1" bestFit="1" customWidth="1"/>
    <col min="2827" max="3072" width="9.140625" style="1"/>
    <col min="3073" max="3073" width="9" style="1" customWidth="1"/>
    <col min="3074" max="3074" width="47.5703125" style="1" customWidth="1"/>
    <col min="3075" max="3075" width="16.5703125" style="1" bestFit="1" customWidth="1"/>
    <col min="3076" max="3076" width="19.140625" style="1" bestFit="1" customWidth="1"/>
    <col min="3077" max="3077" width="20.5703125" style="1" bestFit="1" customWidth="1"/>
    <col min="3078" max="3078" width="12.5703125" style="1" bestFit="1" customWidth="1"/>
    <col min="3079" max="3079" width="16.85546875" style="1" bestFit="1" customWidth="1"/>
    <col min="3080" max="3080" width="11.28515625" style="1" bestFit="1" customWidth="1"/>
    <col min="3081" max="3081" width="20.85546875" style="1" bestFit="1" customWidth="1"/>
    <col min="3082" max="3082" width="10" style="1" bestFit="1" customWidth="1"/>
    <col min="3083" max="3328" width="9.140625" style="1"/>
    <col min="3329" max="3329" width="9" style="1" customWidth="1"/>
    <col min="3330" max="3330" width="47.5703125" style="1" customWidth="1"/>
    <col min="3331" max="3331" width="16.5703125" style="1" bestFit="1" customWidth="1"/>
    <col min="3332" max="3332" width="19.140625" style="1" bestFit="1" customWidth="1"/>
    <col min="3333" max="3333" width="20.5703125" style="1" bestFit="1" customWidth="1"/>
    <col min="3334" max="3334" width="12.5703125" style="1" bestFit="1" customWidth="1"/>
    <col min="3335" max="3335" width="16.85546875" style="1" bestFit="1" customWidth="1"/>
    <col min="3336" max="3336" width="11.28515625" style="1" bestFit="1" customWidth="1"/>
    <col min="3337" max="3337" width="20.85546875" style="1" bestFit="1" customWidth="1"/>
    <col min="3338" max="3338" width="10" style="1" bestFit="1" customWidth="1"/>
    <col min="3339" max="3584" width="9.140625" style="1"/>
    <col min="3585" max="3585" width="9" style="1" customWidth="1"/>
    <col min="3586" max="3586" width="47.5703125" style="1" customWidth="1"/>
    <col min="3587" max="3587" width="16.5703125" style="1" bestFit="1" customWidth="1"/>
    <col min="3588" max="3588" width="19.140625" style="1" bestFit="1" customWidth="1"/>
    <col min="3589" max="3589" width="20.5703125" style="1" bestFit="1" customWidth="1"/>
    <col min="3590" max="3590" width="12.5703125" style="1" bestFit="1" customWidth="1"/>
    <col min="3591" max="3591" width="16.85546875" style="1" bestFit="1" customWidth="1"/>
    <col min="3592" max="3592" width="11.28515625" style="1" bestFit="1" customWidth="1"/>
    <col min="3593" max="3593" width="20.85546875" style="1" bestFit="1" customWidth="1"/>
    <col min="3594" max="3594" width="10" style="1" bestFit="1" customWidth="1"/>
    <col min="3595" max="3840" width="9.140625" style="1"/>
    <col min="3841" max="3841" width="9" style="1" customWidth="1"/>
    <col min="3842" max="3842" width="47.5703125" style="1" customWidth="1"/>
    <col min="3843" max="3843" width="16.5703125" style="1" bestFit="1" customWidth="1"/>
    <col min="3844" max="3844" width="19.140625" style="1" bestFit="1" customWidth="1"/>
    <col min="3845" max="3845" width="20.5703125" style="1" bestFit="1" customWidth="1"/>
    <col min="3846" max="3846" width="12.5703125" style="1" bestFit="1" customWidth="1"/>
    <col min="3847" max="3847" width="16.85546875" style="1" bestFit="1" customWidth="1"/>
    <col min="3848" max="3848" width="11.28515625" style="1" bestFit="1" customWidth="1"/>
    <col min="3849" max="3849" width="20.85546875" style="1" bestFit="1" customWidth="1"/>
    <col min="3850" max="3850" width="10" style="1" bestFit="1" customWidth="1"/>
    <col min="3851" max="4096" width="9.140625" style="1"/>
    <col min="4097" max="4097" width="9" style="1" customWidth="1"/>
    <col min="4098" max="4098" width="47.5703125" style="1" customWidth="1"/>
    <col min="4099" max="4099" width="16.5703125" style="1" bestFit="1" customWidth="1"/>
    <col min="4100" max="4100" width="19.140625" style="1" bestFit="1" customWidth="1"/>
    <col min="4101" max="4101" width="20.5703125" style="1" bestFit="1" customWidth="1"/>
    <col min="4102" max="4102" width="12.5703125" style="1" bestFit="1" customWidth="1"/>
    <col min="4103" max="4103" width="16.85546875" style="1" bestFit="1" customWidth="1"/>
    <col min="4104" max="4104" width="11.28515625" style="1" bestFit="1" customWidth="1"/>
    <col min="4105" max="4105" width="20.85546875" style="1" bestFit="1" customWidth="1"/>
    <col min="4106" max="4106" width="10" style="1" bestFit="1" customWidth="1"/>
    <col min="4107" max="4352" width="9.140625" style="1"/>
    <col min="4353" max="4353" width="9" style="1" customWidth="1"/>
    <col min="4354" max="4354" width="47.5703125" style="1" customWidth="1"/>
    <col min="4355" max="4355" width="16.5703125" style="1" bestFit="1" customWidth="1"/>
    <col min="4356" max="4356" width="19.140625" style="1" bestFit="1" customWidth="1"/>
    <col min="4357" max="4357" width="20.5703125" style="1" bestFit="1" customWidth="1"/>
    <col min="4358" max="4358" width="12.5703125" style="1" bestFit="1" customWidth="1"/>
    <col min="4359" max="4359" width="16.85546875" style="1" bestFit="1" customWidth="1"/>
    <col min="4360" max="4360" width="11.28515625" style="1" bestFit="1" customWidth="1"/>
    <col min="4361" max="4361" width="20.85546875" style="1" bestFit="1" customWidth="1"/>
    <col min="4362" max="4362" width="10" style="1" bestFit="1" customWidth="1"/>
    <col min="4363" max="4608" width="9.140625" style="1"/>
    <col min="4609" max="4609" width="9" style="1" customWidth="1"/>
    <col min="4610" max="4610" width="47.5703125" style="1" customWidth="1"/>
    <col min="4611" max="4611" width="16.5703125" style="1" bestFit="1" customWidth="1"/>
    <col min="4612" max="4612" width="19.140625" style="1" bestFit="1" customWidth="1"/>
    <col min="4613" max="4613" width="20.5703125" style="1" bestFit="1" customWidth="1"/>
    <col min="4614" max="4614" width="12.5703125" style="1" bestFit="1" customWidth="1"/>
    <col min="4615" max="4615" width="16.85546875" style="1" bestFit="1" customWidth="1"/>
    <col min="4616" max="4616" width="11.28515625" style="1" bestFit="1" customWidth="1"/>
    <col min="4617" max="4617" width="20.85546875" style="1" bestFit="1" customWidth="1"/>
    <col min="4618" max="4618" width="10" style="1" bestFit="1" customWidth="1"/>
    <col min="4619" max="4864" width="9.140625" style="1"/>
    <col min="4865" max="4865" width="9" style="1" customWidth="1"/>
    <col min="4866" max="4866" width="47.5703125" style="1" customWidth="1"/>
    <col min="4867" max="4867" width="16.5703125" style="1" bestFit="1" customWidth="1"/>
    <col min="4868" max="4868" width="19.140625" style="1" bestFit="1" customWidth="1"/>
    <col min="4869" max="4869" width="20.5703125" style="1" bestFit="1" customWidth="1"/>
    <col min="4870" max="4870" width="12.5703125" style="1" bestFit="1" customWidth="1"/>
    <col min="4871" max="4871" width="16.85546875" style="1" bestFit="1" customWidth="1"/>
    <col min="4872" max="4872" width="11.28515625" style="1" bestFit="1" customWidth="1"/>
    <col min="4873" max="4873" width="20.85546875" style="1" bestFit="1" customWidth="1"/>
    <col min="4874" max="4874" width="10" style="1" bestFit="1" customWidth="1"/>
    <col min="4875" max="5120" width="9.140625" style="1"/>
    <col min="5121" max="5121" width="9" style="1" customWidth="1"/>
    <col min="5122" max="5122" width="47.5703125" style="1" customWidth="1"/>
    <col min="5123" max="5123" width="16.5703125" style="1" bestFit="1" customWidth="1"/>
    <col min="5124" max="5124" width="19.140625" style="1" bestFit="1" customWidth="1"/>
    <col min="5125" max="5125" width="20.5703125" style="1" bestFit="1" customWidth="1"/>
    <col min="5126" max="5126" width="12.5703125" style="1" bestFit="1" customWidth="1"/>
    <col min="5127" max="5127" width="16.85546875" style="1" bestFit="1" customWidth="1"/>
    <col min="5128" max="5128" width="11.28515625" style="1" bestFit="1" customWidth="1"/>
    <col min="5129" max="5129" width="20.85546875" style="1" bestFit="1" customWidth="1"/>
    <col min="5130" max="5130" width="10" style="1" bestFit="1" customWidth="1"/>
    <col min="5131" max="5376" width="9.140625" style="1"/>
    <col min="5377" max="5377" width="9" style="1" customWidth="1"/>
    <col min="5378" max="5378" width="47.5703125" style="1" customWidth="1"/>
    <col min="5379" max="5379" width="16.5703125" style="1" bestFit="1" customWidth="1"/>
    <col min="5380" max="5380" width="19.140625" style="1" bestFit="1" customWidth="1"/>
    <col min="5381" max="5381" width="20.5703125" style="1" bestFit="1" customWidth="1"/>
    <col min="5382" max="5382" width="12.5703125" style="1" bestFit="1" customWidth="1"/>
    <col min="5383" max="5383" width="16.85546875" style="1" bestFit="1" customWidth="1"/>
    <col min="5384" max="5384" width="11.28515625" style="1" bestFit="1" customWidth="1"/>
    <col min="5385" max="5385" width="20.85546875" style="1" bestFit="1" customWidth="1"/>
    <col min="5386" max="5386" width="10" style="1" bestFit="1" customWidth="1"/>
    <col min="5387" max="5632" width="9.140625" style="1"/>
    <col min="5633" max="5633" width="9" style="1" customWidth="1"/>
    <col min="5634" max="5634" width="47.5703125" style="1" customWidth="1"/>
    <col min="5635" max="5635" width="16.5703125" style="1" bestFit="1" customWidth="1"/>
    <col min="5636" max="5636" width="19.140625" style="1" bestFit="1" customWidth="1"/>
    <col min="5637" max="5637" width="20.5703125" style="1" bestFit="1" customWidth="1"/>
    <col min="5638" max="5638" width="12.5703125" style="1" bestFit="1" customWidth="1"/>
    <col min="5639" max="5639" width="16.85546875" style="1" bestFit="1" customWidth="1"/>
    <col min="5640" max="5640" width="11.28515625" style="1" bestFit="1" customWidth="1"/>
    <col min="5641" max="5641" width="20.85546875" style="1" bestFit="1" customWidth="1"/>
    <col min="5642" max="5642" width="10" style="1" bestFit="1" customWidth="1"/>
    <col min="5643" max="5888" width="9.140625" style="1"/>
    <col min="5889" max="5889" width="9" style="1" customWidth="1"/>
    <col min="5890" max="5890" width="47.5703125" style="1" customWidth="1"/>
    <col min="5891" max="5891" width="16.5703125" style="1" bestFit="1" customWidth="1"/>
    <col min="5892" max="5892" width="19.140625" style="1" bestFit="1" customWidth="1"/>
    <col min="5893" max="5893" width="20.5703125" style="1" bestFit="1" customWidth="1"/>
    <col min="5894" max="5894" width="12.5703125" style="1" bestFit="1" customWidth="1"/>
    <col min="5895" max="5895" width="16.85546875" style="1" bestFit="1" customWidth="1"/>
    <col min="5896" max="5896" width="11.28515625" style="1" bestFit="1" customWidth="1"/>
    <col min="5897" max="5897" width="20.85546875" style="1" bestFit="1" customWidth="1"/>
    <col min="5898" max="5898" width="10" style="1" bestFit="1" customWidth="1"/>
    <col min="5899" max="6144" width="9.140625" style="1"/>
    <col min="6145" max="6145" width="9" style="1" customWidth="1"/>
    <col min="6146" max="6146" width="47.5703125" style="1" customWidth="1"/>
    <col min="6147" max="6147" width="16.5703125" style="1" bestFit="1" customWidth="1"/>
    <col min="6148" max="6148" width="19.140625" style="1" bestFit="1" customWidth="1"/>
    <col min="6149" max="6149" width="20.5703125" style="1" bestFit="1" customWidth="1"/>
    <col min="6150" max="6150" width="12.5703125" style="1" bestFit="1" customWidth="1"/>
    <col min="6151" max="6151" width="16.85546875" style="1" bestFit="1" customWidth="1"/>
    <col min="6152" max="6152" width="11.28515625" style="1" bestFit="1" customWidth="1"/>
    <col min="6153" max="6153" width="20.85546875" style="1" bestFit="1" customWidth="1"/>
    <col min="6154" max="6154" width="10" style="1" bestFit="1" customWidth="1"/>
    <col min="6155" max="6400" width="9.140625" style="1"/>
    <col min="6401" max="6401" width="9" style="1" customWidth="1"/>
    <col min="6402" max="6402" width="47.5703125" style="1" customWidth="1"/>
    <col min="6403" max="6403" width="16.5703125" style="1" bestFit="1" customWidth="1"/>
    <col min="6404" max="6404" width="19.140625" style="1" bestFit="1" customWidth="1"/>
    <col min="6405" max="6405" width="20.5703125" style="1" bestFit="1" customWidth="1"/>
    <col min="6406" max="6406" width="12.5703125" style="1" bestFit="1" customWidth="1"/>
    <col min="6407" max="6407" width="16.85546875" style="1" bestFit="1" customWidth="1"/>
    <col min="6408" max="6408" width="11.28515625" style="1" bestFit="1" customWidth="1"/>
    <col min="6409" max="6409" width="20.85546875" style="1" bestFit="1" customWidth="1"/>
    <col min="6410" max="6410" width="10" style="1" bestFit="1" customWidth="1"/>
    <col min="6411" max="6656" width="9.140625" style="1"/>
    <col min="6657" max="6657" width="9" style="1" customWidth="1"/>
    <col min="6658" max="6658" width="47.5703125" style="1" customWidth="1"/>
    <col min="6659" max="6659" width="16.5703125" style="1" bestFit="1" customWidth="1"/>
    <col min="6660" max="6660" width="19.140625" style="1" bestFit="1" customWidth="1"/>
    <col min="6661" max="6661" width="20.5703125" style="1" bestFit="1" customWidth="1"/>
    <col min="6662" max="6662" width="12.5703125" style="1" bestFit="1" customWidth="1"/>
    <col min="6663" max="6663" width="16.85546875" style="1" bestFit="1" customWidth="1"/>
    <col min="6664" max="6664" width="11.28515625" style="1" bestFit="1" customWidth="1"/>
    <col min="6665" max="6665" width="20.85546875" style="1" bestFit="1" customWidth="1"/>
    <col min="6666" max="6666" width="10" style="1" bestFit="1" customWidth="1"/>
    <col min="6667" max="6912" width="9.140625" style="1"/>
    <col min="6913" max="6913" width="9" style="1" customWidth="1"/>
    <col min="6914" max="6914" width="47.5703125" style="1" customWidth="1"/>
    <col min="6915" max="6915" width="16.5703125" style="1" bestFit="1" customWidth="1"/>
    <col min="6916" max="6916" width="19.140625" style="1" bestFit="1" customWidth="1"/>
    <col min="6917" max="6917" width="20.5703125" style="1" bestFit="1" customWidth="1"/>
    <col min="6918" max="6918" width="12.5703125" style="1" bestFit="1" customWidth="1"/>
    <col min="6919" max="6919" width="16.85546875" style="1" bestFit="1" customWidth="1"/>
    <col min="6920" max="6920" width="11.28515625" style="1" bestFit="1" customWidth="1"/>
    <col min="6921" max="6921" width="20.85546875" style="1" bestFit="1" customWidth="1"/>
    <col min="6922" max="6922" width="10" style="1" bestFit="1" customWidth="1"/>
    <col min="6923" max="7168" width="9.140625" style="1"/>
    <col min="7169" max="7169" width="9" style="1" customWidth="1"/>
    <col min="7170" max="7170" width="47.5703125" style="1" customWidth="1"/>
    <col min="7171" max="7171" width="16.5703125" style="1" bestFit="1" customWidth="1"/>
    <col min="7172" max="7172" width="19.140625" style="1" bestFit="1" customWidth="1"/>
    <col min="7173" max="7173" width="20.5703125" style="1" bestFit="1" customWidth="1"/>
    <col min="7174" max="7174" width="12.5703125" style="1" bestFit="1" customWidth="1"/>
    <col min="7175" max="7175" width="16.85546875" style="1" bestFit="1" customWidth="1"/>
    <col min="7176" max="7176" width="11.28515625" style="1" bestFit="1" customWidth="1"/>
    <col min="7177" max="7177" width="20.85546875" style="1" bestFit="1" customWidth="1"/>
    <col min="7178" max="7178" width="10" style="1" bestFit="1" customWidth="1"/>
    <col min="7179" max="7424" width="9.140625" style="1"/>
    <col min="7425" max="7425" width="9" style="1" customWidth="1"/>
    <col min="7426" max="7426" width="47.5703125" style="1" customWidth="1"/>
    <col min="7427" max="7427" width="16.5703125" style="1" bestFit="1" customWidth="1"/>
    <col min="7428" max="7428" width="19.140625" style="1" bestFit="1" customWidth="1"/>
    <col min="7429" max="7429" width="20.5703125" style="1" bestFit="1" customWidth="1"/>
    <col min="7430" max="7430" width="12.5703125" style="1" bestFit="1" customWidth="1"/>
    <col min="7431" max="7431" width="16.85546875" style="1" bestFit="1" customWidth="1"/>
    <col min="7432" max="7432" width="11.28515625" style="1" bestFit="1" customWidth="1"/>
    <col min="7433" max="7433" width="20.85546875" style="1" bestFit="1" customWidth="1"/>
    <col min="7434" max="7434" width="10" style="1" bestFit="1" customWidth="1"/>
    <col min="7435" max="7680" width="9.140625" style="1"/>
    <col min="7681" max="7681" width="9" style="1" customWidth="1"/>
    <col min="7682" max="7682" width="47.5703125" style="1" customWidth="1"/>
    <col min="7683" max="7683" width="16.5703125" style="1" bestFit="1" customWidth="1"/>
    <col min="7684" max="7684" width="19.140625" style="1" bestFit="1" customWidth="1"/>
    <col min="7685" max="7685" width="20.5703125" style="1" bestFit="1" customWidth="1"/>
    <col min="7686" max="7686" width="12.5703125" style="1" bestFit="1" customWidth="1"/>
    <col min="7687" max="7687" width="16.85546875" style="1" bestFit="1" customWidth="1"/>
    <col min="7688" max="7688" width="11.28515625" style="1" bestFit="1" customWidth="1"/>
    <col min="7689" max="7689" width="20.85546875" style="1" bestFit="1" customWidth="1"/>
    <col min="7690" max="7690" width="10" style="1" bestFit="1" customWidth="1"/>
    <col min="7691" max="7936" width="9.140625" style="1"/>
    <col min="7937" max="7937" width="9" style="1" customWidth="1"/>
    <col min="7938" max="7938" width="47.5703125" style="1" customWidth="1"/>
    <col min="7939" max="7939" width="16.5703125" style="1" bestFit="1" customWidth="1"/>
    <col min="7940" max="7940" width="19.140625" style="1" bestFit="1" customWidth="1"/>
    <col min="7941" max="7941" width="20.5703125" style="1" bestFit="1" customWidth="1"/>
    <col min="7942" max="7942" width="12.5703125" style="1" bestFit="1" customWidth="1"/>
    <col min="7943" max="7943" width="16.85546875" style="1" bestFit="1" customWidth="1"/>
    <col min="7944" max="7944" width="11.28515625" style="1" bestFit="1" customWidth="1"/>
    <col min="7945" max="7945" width="20.85546875" style="1" bestFit="1" customWidth="1"/>
    <col min="7946" max="7946" width="10" style="1" bestFit="1" customWidth="1"/>
    <col min="7947" max="8192" width="9.140625" style="1"/>
    <col min="8193" max="8193" width="9" style="1" customWidth="1"/>
    <col min="8194" max="8194" width="47.5703125" style="1" customWidth="1"/>
    <col min="8195" max="8195" width="16.5703125" style="1" bestFit="1" customWidth="1"/>
    <col min="8196" max="8196" width="19.140625" style="1" bestFit="1" customWidth="1"/>
    <col min="8197" max="8197" width="20.5703125" style="1" bestFit="1" customWidth="1"/>
    <col min="8198" max="8198" width="12.5703125" style="1" bestFit="1" customWidth="1"/>
    <col min="8199" max="8199" width="16.85546875" style="1" bestFit="1" customWidth="1"/>
    <col min="8200" max="8200" width="11.28515625" style="1" bestFit="1" customWidth="1"/>
    <col min="8201" max="8201" width="20.85546875" style="1" bestFit="1" customWidth="1"/>
    <col min="8202" max="8202" width="10" style="1" bestFit="1" customWidth="1"/>
    <col min="8203" max="8448" width="9.140625" style="1"/>
    <col min="8449" max="8449" width="9" style="1" customWidth="1"/>
    <col min="8450" max="8450" width="47.5703125" style="1" customWidth="1"/>
    <col min="8451" max="8451" width="16.5703125" style="1" bestFit="1" customWidth="1"/>
    <col min="8452" max="8452" width="19.140625" style="1" bestFit="1" customWidth="1"/>
    <col min="8453" max="8453" width="20.5703125" style="1" bestFit="1" customWidth="1"/>
    <col min="8454" max="8454" width="12.5703125" style="1" bestFit="1" customWidth="1"/>
    <col min="8455" max="8455" width="16.85546875" style="1" bestFit="1" customWidth="1"/>
    <col min="8456" max="8456" width="11.28515625" style="1" bestFit="1" customWidth="1"/>
    <col min="8457" max="8457" width="20.85546875" style="1" bestFit="1" customWidth="1"/>
    <col min="8458" max="8458" width="10" style="1" bestFit="1" customWidth="1"/>
    <col min="8459" max="8704" width="9.140625" style="1"/>
    <col min="8705" max="8705" width="9" style="1" customWidth="1"/>
    <col min="8706" max="8706" width="47.5703125" style="1" customWidth="1"/>
    <col min="8707" max="8707" width="16.5703125" style="1" bestFit="1" customWidth="1"/>
    <col min="8708" max="8708" width="19.140625" style="1" bestFit="1" customWidth="1"/>
    <col min="8709" max="8709" width="20.5703125" style="1" bestFit="1" customWidth="1"/>
    <col min="8710" max="8710" width="12.5703125" style="1" bestFit="1" customWidth="1"/>
    <col min="8711" max="8711" width="16.85546875" style="1" bestFit="1" customWidth="1"/>
    <col min="8712" max="8712" width="11.28515625" style="1" bestFit="1" customWidth="1"/>
    <col min="8713" max="8713" width="20.85546875" style="1" bestFit="1" customWidth="1"/>
    <col min="8714" max="8714" width="10" style="1" bestFit="1" customWidth="1"/>
    <col min="8715" max="8960" width="9.140625" style="1"/>
    <col min="8961" max="8961" width="9" style="1" customWidth="1"/>
    <col min="8962" max="8962" width="47.5703125" style="1" customWidth="1"/>
    <col min="8963" max="8963" width="16.5703125" style="1" bestFit="1" customWidth="1"/>
    <col min="8964" max="8964" width="19.140625" style="1" bestFit="1" customWidth="1"/>
    <col min="8965" max="8965" width="20.5703125" style="1" bestFit="1" customWidth="1"/>
    <col min="8966" max="8966" width="12.5703125" style="1" bestFit="1" customWidth="1"/>
    <col min="8967" max="8967" width="16.85546875" style="1" bestFit="1" customWidth="1"/>
    <col min="8968" max="8968" width="11.28515625" style="1" bestFit="1" customWidth="1"/>
    <col min="8969" max="8969" width="20.85546875" style="1" bestFit="1" customWidth="1"/>
    <col min="8970" max="8970" width="10" style="1" bestFit="1" customWidth="1"/>
    <col min="8971" max="9216" width="9.140625" style="1"/>
    <col min="9217" max="9217" width="9" style="1" customWidth="1"/>
    <col min="9218" max="9218" width="47.5703125" style="1" customWidth="1"/>
    <col min="9219" max="9219" width="16.5703125" style="1" bestFit="1" customWidth="1"/>
    <col min="9220" max="9220" width="19.140625" style="1" bestFit="1" customWidth="1"/>
    <col min="9221" max="9221" width="20.5703125" style="1" bestFit="1" customWidth="1"/>
    <col min="9222" max="9222" width="12.5703125" style="1" bestFit="1" customWidth="1"/>
    <col min="9223" max="9223" width="16.85546875" style="1" bestFit="1" customWidth="1"/>
    <col min="9224" max="9224" width="11.28515625" style="1" bestFit="1" customWidth="1"/>
    <col min="9225" max="9225" width="20.85546875" style="1" bestFit="1" customWidth="1"/>
    <col min="9226" max="9226" width="10" style="1" bestFit="1" customWidth="1"/>
    <col min="9227" max="9472" width="9.140625" style="1"/>
    <col min="9473" max="9473" width="9" style="1" customWidth="1"/>
    <col min="9474" max="9474" width="47.5703125" style="1" customWidth="1"/>
    <col min="9475" max="9475" width="16.5703125" style="1" bestFit="1" customWidth="1"/>
    <col min="9476" max="9476" width="19.140625" style="1" bestFit="1" customWidth="1"/>
    <col min="9477" max="9477" width="20.5703125" style="1" bestFit="1" customWidth="1"/>
    <col min="9478" max="9478" width="12.5703125" style="1" bestFit="1" customWidth="1"/>
    <col min="9479" max="9479" width="16.85546875" style="1" bestFit="1" customWidth="1"/>
    <col min="9480" max="9480" width="11.28515625" style="1" bestFit="1" customWidth="1"/>
    <col min="9481" max="9481" width="20.85546875" style="1" bestFit="1" customWidth="1"/>
    <col min="9482" max="9482" width="10" style="1" bestFit="1" customWidth="1"/>
    <col min="9483" max="9728" width="9.140625" style="1"/>
    <col min="9729" max="9729" width="9" style="1" customWidth="1"/>
    <col min="9730" max="9730" width="47.5703125" style="1" customWidth="1"/>
    <col min="9731" max="9731" width="16.5703125" style="1" bestFit="1" customWidth="1"/>
    <col min="9732" max="9732" width="19.140625" style="1" bestFit="1" customWidth="1"/>
    <col min="9733" max="9733" width="20.5703125" style="1" bestFit="1" customWidth="1"/>
    <col min="9734" max="9734" width="12.5703125" style="1" bestFit="1" customWidth="1"/>
    <col min="9735" max="9735" width="16.85546875" style="1" bestFit="1" customWidth="1"/>
    <col min="9736" max="9736" width="11.28515625" style="1" bestFit="1" customWidth="1"/>
    <col min="9737" max="9737" width="20.85546875" style="1" bestFit="1" customWidth="1"/>
    <col min="9738" max="9738" width="10" style="1" bestFit="1" customWidth="1"/>
    <col min="9739" max="9984" width="9.140625" style="1"/>
    <col min="9985" max="9985" width="9" style="1" customWidth="1"/>
    <col min="9986" max="9986" width="47.5703125" style="1" customWidth="1"/>
    <col min="9987" max="9987" width="16.5703125" style="1" bestFit="1" customWidth="1"/>
    <col min="9988" max="9988" width="19.140625" style="1" bestFit="1" customWidth="1"/>
    <col min="9989" max="9989" width="20.5703125" style="1" bestFit="1" customWidth="1"/>
    <col min="9990" max="9990" width="12.5703125" style="1" bestFit="1" customWidth="1"/>
    <col min="9991" max="9991" width="16.85546875" style="1" bestFit="1" customWidth="1"/>
    <col min="9992" max="9992" width="11.28515625" style="1" bestFit="1" customWidth="1"/>
    <col min="9993" max="9993" width="20.85546875" style="1" bestFit="1" customWidth="1"/>
    <col min="9994" max="9994" width="10" style="1" bestFit="1" customWidth="1"/>
    <col min="9995" max="10240" width="9.140625" style="1"/>
    <col min="10241" max="10241" width="9" style="1" customWidth="1"/>
    <col min="10242" max="10242" width="47.5703125" style="1" customWidth="1"/>
    <col min="10243" max="10243" width="16.5703125" style="1" bestFit="1" customWidth="1"/>
    <col min="10244" max="10244" width="19.140625" style="1" bestFit="1" customWidth="1"/>
    <col min="10245" max="10245" width="20.5703125" style="1" bestFit="1" customWidth="1"/>
    <col min="10246" max="10246" width="12.5703125" style="1" bestFit="1" customWidth="1"/>
    <col min="10247" max="10247" width="16.85546875" style="1" bestFit="1" customWidth="1"/>
    <col min="10248" max="10248" width="11.28515625" style="1" bestFit="1" customWidth="1"/>
    <col min="10249" max="10249" width="20.85546875" style="1" bestFit="1" customWidth="1"/>
    <col min="10250" max="10250" width="10" style="1" bestFit="1" customWidth="1"/>
    <col min="10251" max="10496" width="9.140625" style="1"/>
    <col min="10497" max="10497" width="9" style="1" customWidth="1"/>
    <col min="10498" max="10498" width="47.5703125" style="1" customWidth="1"/>
    <col min="10499" max="10499" width="16.5703125" style="1" bestFit="1" customWidth="1"/>
    <col min="10500" max="10500" width="19.140625" style="1" bestFit="1" customWidth="1"/>
    <col min="10501" max="10501" width="20.5703125" style="1" bestFit="1" customWidth="1"/>
    <col min="10502" max="10502" width="12.5703125" style="1" bestFit="1" customWidth="1"/>
    <col min="10503" max="10503" width="16.85546875" style="1" bestFit="1" customWidth="1"/>
    <col min="10504" max="10504" width="11.28515625" style="1" bestFit="1" customWidth="1"/>
    <col min="10505" max="10505" width="20.85546875" style="1" bestFit="1" customWidth="1"/>
    <col min="10506" max="10506" width="10" style="1" bestFit="1" customWidth="1"/>
    <col min="10507" max="10752" width="9.140625" style="1"/>
    <col min="10753" max="10753" width="9" style="1" customWidth="1"/>
    <col min="10754" max="10754" width="47.5703125" style="1" customWidth="1"/>
    <col min="10755" max="10755" width="16.5703125" style="1" bestFit="1" customWidth="1"/>
    <col min="10756" max="10756" width="19.140625" style="1" bestFit="1" customWidth="1"/>
    <col min="10757" max="10757" width="20.5703125" style="1" bestFit="1" customWidth="1"/>
    <col min="10758" max="10758" width="12.5703125" style="1" bestFit="1" customWidth="1"/>
    <col min="10759" max="10759" width="16.85546875" style="1" bestFit="1" customWidth="1"/>
    <col min="10760" max="10760" width="11.28515625" style="1" bestFit="1" customWidth="1"/>
    <col min="10761" max="10761" width="20.85546875" style="1" bestFit="1" customWidth="1"/>
    <col min="10762" max="10762" width="10" style="1" bestFit="1" customWidth="1"/>
    <col min="10763" max="11008" width="9.140625" style="1"/>
    <col min="11009" max="11009" width="9" style="1" customWidth="1"/>
    <col min="11010" max="11010" width="47.5703125" style="1" customWidth="1"/>
    <col min="11011" max="11011" width="16.5703125" style="1" bestFit="1" customWidth="1"/>
    <col min="11012" max="11012" width="19.140625" style="1" bestFit="1" customWidth="1"/>
    <col min="11013" max="11013" width="20.5703125" style="1" bestFit="1" customWidth="1"/>
    <col min="11014" max="11014" width="12.5703125" style="1" bestFit="1" customWidth="1"/>
    <col min="11015" max="11015" width="16.85546875" style="1" bestFit="1" customWidth="1"/>
    <col min="11016" max="11016" width="11.28515625" style="1" bestFit="1" customWidth="1"/>
    <col min="11017" max="11017" width="20.85546875" style="1" bestFit="1" customWidth="1"/>
    <col min="11018" max="11018" width="10" style="1" bestFit="1" customWidth="1"/>
    <col min="11019" max="11264" width="9.140625" style="1"/>
    <col min="11265" max="11265" width="9" style="1" customWidth="1"/>
    <col min="11266" max="11266" width="47.5703125" style="1" customWidth="1"/>
    <col min="11267" max="11267" width="16.5703125" style="1" bestFit="1" customWidth="1"/>
    <col min="11268" max="11268" width="19.140625" style="1" bestFit="1" customWidth="1"/>
    <col min="11269" max="11269" width="20.5703125" style="1" bestFit="1" customWidth="1"/>
    <col min="11270" max="11270" width="12.5703125" style="1" bestFit="1" customWidth="1"/>
    <col min="11271" max="11271" width="16.85546875" style="1" bestFit="1" customWidth="1"/>
    <col min="11272" max="11272" width="11.28515625" style="1" bestFit="1" customWidth="1"/>
    <col min="11273" max="11273" width="20.85546875" style="1" bestFit="1" customWidth="1"/>
    <col min="11274" max="11274" width="10" style="1" bestFit="1" customWidth="1"/>
    <col min="11275" max="11520" width="9.140625" style="1"/>
    <col min="11521" max="11521" width="9" style="1" customWidth="1"/>
    <col min="11522" max="11522" width="47.5703125" style="1" customWidth="1"/>
    <col min="11523" max="11523" width="16.5703125" style="1" bestFit="1" customWidth="1"/>
    <col min="11524" max="11524" width="19.140625" style="1" bestFit="1" customWidth="1"/>
    <col min="11525" max="11525" width="20.5703125" style="1" bestFit="1" customWidth="1"/>
    <col min="11526" max="11526" width="12.5703125" style="1" bestFit="1" customWidth="1"/>
    <col min="11527" max="11527" width="16.85546875" style="1" bestFit="1" customWidth="1"/>
    <col min="11528" max="11528" width="11.28515625" style="1" bestFit="1" customWidth="1"/>
    <col min="11529" max="11529" width="20.85546875" style="1" bestFit="1" customWidth="1"/>
    <col min="11530" max="11530" width="10" style="1" bestFit="1" customWidth="1"/>
    <col min="11531" max="11776" width="9.140625" style="1"/>
    <col min="11777" max="11777" width="9" style="1" customWidth="1"/>
    <col min="11778" max="11778" width="47.5703125" style="1" customWidth="1"/>
    <col min="11779" max="11779" width="16.5703125" style="1" bestFit="1" customWidth="1"/>
    <col min="11780" max="11780" width="19.140625" style="1" bestFit="1" customWidth="1"/>
    <col min="11781" max="11781" width="20.5703125" style="1" bestFit="1" customWidth="1"/>
    <col min="11782" max="11782" width="12.5703125" style="1" bestFit="1" customWidth="1"/>
    <col min="11783" max="11783" width="16.85546875" style="1" bestFit="1" customWidth="1"/>
    <col min="11784" max="11784" width="11.28515625" style="1" bestFit="1" customWidth="1"/>
    <col min="11785" max="11785" width="20.85546875" style="1" bestFit="1" customWidth="1"/>
    <col min="11786" max="11786" width="10" style="1" bestFit="1" customWidth="1"/>
    <col min="11787" max="12032" width="9.140625" style="1"/>
    <col min="12033" max="12033" width="9" style="1" customWidth="1"/>
    <col min="12034" max="12034" width="47.5703125" style="1" customWidth="1"/>
    <col min="12035" max="12035" width="16.5703125" style="1" bestFit="1" customWidth="1"/>
    <col min="12036" max="12036" width="19.140625" style="1" bestFit="1" customWidth="1"/>
    <col min="12037" max="12037" width="20.5703125" style="1" bestFit="1" customWidth="1"/>
    <col min="12038" max="12038" width="12.5703125" style="1" bestFit="1" customWidth="1"/>
    <col min="12039" max="12039" width="16.85546875" style="1" bestFit="1" customWidth="1"/>
    <col min="12040" max="12040" width="11.28515625" style="1" bestFit="1" customWidth="1"/>
    <col min="12041" max="12041" width="20.85546875" style="1" bestFit="1" customWidth="1"/>
    <col min="12042" max="12042" width="10" style="1" bestFit="1" customWidth="1"/>
    <col min="12043" max="12288" width="9.140625" style="1"/>
    <col min="12289" max="12289" width="9" style="1" customWidth="1"/>
    <col min="12290" max="12290" width="47.5703125" style="1" customWidth="1"/>
    <col min="12291" max="12291" width="16.5703125" style="1" bestFit="1" customWidth="1"/>
    <col min="12292" max="12292" width="19.140625" style="1" bestFit="1" customWidth="1"/>
    <col min="12293" max="12293" width="20.5703125" style="1" bestFit="1" customWidth="1"/>
    <col min="12294" max="12294" width="12.5703125" style="1" bestFit="1" customWidth="1"/>
    <col min="12295" max="12295" width="16.85546875" style="1" bestFit="1" customWidth="1"/>
    <col min="12296" max="12296" width="11.28515625" style="1" bestFit="1" customWidth="1"/>
    <col min="12297" max="12297" width="20.85546875" style="1" bestFit="1" customWidth="1"/>
    <col min="12298" max="12298" width="10" style="1" bestFit="1" customWidth="1"/>
    <col min="12299" max="12544" width="9.140625" style="1"/>
    <col min="12545" max="12545" width="9" style="1" customWidth="1"/>
    <col min="12546" max="12546" width="47.5703125" style="1" customWidth="1"/>
    <col min="12547" max="12547" width="16.5703125" style="1" bestFit="1" customWidth="1"/>
    <col min="12548" max="12548" width="19.140625" style="1" bestFit="1" customWidth="1"/>
    <col min="12549" max="12549" width="20.5703125" style="1" bestFit="1" customWidth="1"/>
    <col min="12550" max="12550" width="12.5703125" style="1" bestFit="1" customWidth="1"/>
    <col min="12551" max="12551" width="16.85546875" style="1" bestFit="1" customWidth="1"/>
    <col min="12552" max="12552" width="11.28515625" style="1" bestFit="1" customWidth="1"/>
    <col min="12553" max="12553" width="20.85546875" style="1" bestFit="1" customWidth="1"/>
    <col min="12554" max="12554" width="10" style="1" bestFit="1" customWidth="1"/>
    <col min="12555" max="12800" width="9.140625" style="1"/>
    <col min="12801" max="12801" width="9" style="1" customWidth="1"/>
    <col min="12802" max="12802" width="47.5703125" style="1" customWidth="1"/>
    <col min="12803" max="12803" width="16.5703125" style="1" bestFit="1" customWidth="1"/>
    <col min="12804" max="12804" width="19.140625" style="1" bestFit="1" customWidth="1"/>
    <col min="12805" max="12805" width="20.5703125" style="1" bestFit="1" customWidth="1"/>
    <col min="12806" max="12806" width="12.5703125" style="1" bestFit="1" customWidth="1"/>
    <col min="12807" max="12807" width="16.85546875" style="1" bestFit="1" customWidth="1"/>
    <col min="12808" max="12808" width="11.28515625" style="1" bestFit="1" customWidth="1"/>
    <col min="12809" max="12809" width="20.85546875" style="1" bestFit="1" customWidth="1"/>
    <col min="12810" max="12810" width="10" style="1" bestFit="1" customWidth="1"/>
    <col min="12811" max="13056" width="9.140625" style="1"/>
    <col min="13057" max="13057" width="9" style="1" customWidth="1"/>
    <col min="13058" max="13058" width="47.5703125" style="1" customWidth="1"/>
    <col min="13059" max="13059" width="16.5703125" style="1" bestFit="1" customWidth="1"/>
    <col min="13060" max="13060" width="19.140625" style="1" bestFit="1" customWidth="1"/>
    <col min="13061" max="13061" width="20.5703125" style="1" bestFit="1" customWidth="1"/>
    <col min="13062" max="13062" width="12.5703125" style="1" bestFit="1" customWidth="1"/>
    <col min="13063" max="13063" width="16.85546875" style="1" bestFit="1" customWidth="1"/>
    <col min="13064" max="13064" width="11.28515625" style="1" bestFit="1" customWidth="1"/>
    <col min="13065" max="13065" width="20.85546875" style="1" bestFit="1" customWidth="1"/>
    <col min="13066" max="13066" width="10" style="1" bestFit="1" customWidth="1"/>
    <col min="13067" max="13312" width="9.140625" style="1"/>
    <col min="13313" max="13313" width="9" style="1" customWidth="1"/>
    <col min="13314" max="13314" width="47.5703125" style="1" customWidth="1"/>
    <col min="13315" max="13315" width="16.5703125" style="1" bestFit="1" customWidth="1"/>
    <col min="13316" max="13316" width="19.140625" style="1" bestFit="1" customWidth="1"/>
    <col min="13317" max="13317" width="20.5703125" style="1" bestFit="1" customWidth="1"/>
    <col min="13318" max="13318" width="12.5703125" style="1" bestFit="1" customWidth="1"/>
    <col min="13319" max="13319" width="16.85546875" style="1" bestFit="1" customWidth="1"/>
    <col min="13320" max="13320" width="11.28515625" style="1" bestFit="1" customWidth="1"/>
    <col min="13321" max="13321" width="20.85546875" style="1" bestFit="1" customWidth="1"/>
    <col min="13322" max="13322" width="10" style="1" bestFit="1" customWidth="1"/>
    <col min="13323" max="13568" width="9.140625" style="1"/>
    <col min="13569" max="13569" width="9" style="1" customWidth="1"/>
    <col min="13570" max="13570" width="47.5703125" style="1" customWidth="1"/>
    <col min="13571" max="13571" width="16.5703125" style="1" bestFit="1" customWidth="1"/>
    <col min="13572" max="13572" width="19.140625" style="1" bestFit="1" customWidth="1"/>
    <col min="13573" max="13573" width="20.5703125" style="1" bestFit="1" customWidth="1"/>
    <col min="13574" max="13574" width="12.5703125" style="1" bestFit="1" customWidth="1"/>
    <col min="13575" max="13575" width="16.85546875" style="1" bestFit="1" customWidth="1"/>
    <col min="13576" max="13576" width="11.28515625" style="1" bestFit="1" customWidth="1"/>
    <col min="13577" max="13577" width="20.85546875" style="1" bestFit="1" customWidth="1"/>
    <col min="13578" max="13578" width="10" style="1" bestFit="1" customWidth="1"/>
    <col min="13579" max="13824" width="9.140625" style="1"/>
    <col min="13825" max="13825" width="9" style="1" customWidth="1"/>
    <col min="13826" max="13826" width="47.5703125" style="1" customWidth="1"/>
    <col min="13827" max="13827" width="16.5703125" style="1" bestFit="1" customWidth="1"/>
    <col min="13828" max="13828" width="19.140625" style="1" bestFit="1" customWidth="1"/>
    <col min="13829" max="13829" width="20.5703125" style="1" bestFit="1" customWidth="1"/>
    <col min="13830" max="13830" width="12.5703125" style="1" bestFit="1" customWidth="1"/>
    <col min="13831" max="13831" width="16.85546875" style="1" bestFit="1" customWidth="1"/>
    <col min="13832" max="13832" width="11.28515625" style="1" bestFit="1" customWidth="1"/>
    <col min="13833" max="13833" width="20.85546875" style="1" bestFit="1" customWidth="1"/>
    <col min="13834" max="13834" width="10" style="1" bestFit="1" customWidth="1"/>
    <col min="13835" max="14080" width="9.140625" style="1"/>
    <col min="14081" max="14081" width="9" style="1" customWidth="1"/>
    <col min="14082" max="14082" width="47.5703125" style="1" customWidth="1"/>
    <col min="14083" max="14083" width="16.5703125" style="1" bestFit="1" customWidth="1"/>
    <col min="14084" max="14084" width="19.140625" style="1" bestFit="1" customWidth="1"/>
    <col min="14085" max="14085" width="20.5703125" style="1" bestFit="1" customWidth="1"/>
    <col min="14086" max="14086" width="12.5703125" style="1" bestFit="1" customWidth="1"/>
    <col min="14087" max="14087" width="16.85546875" style="1" bestFit="1" customWidth="1"/>
    <col min="14088" max="14088" width="11.28515625" style="1" bestFit="1" customWidth="1"/>
    <col min="14089" max="14089" width="20.85546875" style="1" bestFit="1" customWidth="1"/>
    <col min="14090" max="14090" width="10" style="1" bestFit="1" customWidth="1"/>
    <col min="14091" max="14336" width="9.140625" style="1"/>
    <col min="14337" max="14337" width="9" style="1" customWidth="1"/>
    <col min="14338" max="14338" width="47.5703125" style="1" customWidth="1"/>
    <col min="14339" max="14339" width="16.5703125" style="1" bestFit="1" customWidth="1"/>
    <col min="14340" max="14340" width="19.140625" style="1" bestFit="1" customWidth="1"/>
    <col min="14341" max="14341" width="20.5703125" style="1" bestFit="1" customWidth="1"/>
    <col min="14342" max="14342" width="12.5703125" style="1" bestFit="1" customWidth="1"/>
    <col min="14343" max="14343" width="16.85546875" style="1" bestFit="1" customWidth="1"/>
    <col min="14344" max="14344" width="11.28515625" style="1" bestFit="1" customWidth="1"/>
    <col min="14345" max="14345" width="20.85546875" style="1" bestFit="1" customWidth="1"/>
    <col min="14346" max="14346" width="10" style="1" bestFit="1" customWidth="1"/>
    <col min="14347" max="14592" width="9.140625" style="1"/>
    <col min="14593" max="14593" width="9" style="1" customWidth="1"/>
    <col min="14594" max="14594" width="47.5703125" style="1" customWidth="1"/>
    <col min="14595" max="14595" width="16.5703125" style="1" bestFit="1" customWidth="1"/>
    <col min="14596" max="14596" width="19.140625" style="1" bestFit="1" customWidth="1"/>
    <col min="14597" max="14597" width="20.5703125" style="1" bestFit="1" customWidth="1"/>
    <col min="14598" max="14598" width="12.5703125" style="1" bestFit="1" customWidth="1"/>
    <col min="14599" max="14599" width="16.85546875" style="1" bestFit="1" customWidth="1"/>
    <col min="14600" max="14600" width="11.28515625" style="1" bestFit="1" customWidth="1"/>
    <col min="14601" max="14601" width="20.85546875" style="1" bestFit="1" customWidth="1"/>
    <col min="14602" max="14602" width="10" style="1" bestFit="1" customWidth="1"/>
    <col min="14603" max="14848" width="9.140625" style="1"/>
    <col min="14849" max="14849" width="9" style="1" customWidth="1"/>
    <col min="14850" max="14850" width="47.5703125" style="1" customWidth="1"/>
    <col min="14851" max="14851" width="16.5703125" style="1" bestFit="1" customWidth="1"/>
    <col min="14852" max="14852" width="19.140625" style="1" bestFit="1" customWidth="1"/>
    <col min="14853" max="14853" width="20.5703125" style="1" bestFit="1" customWidth="1"/>
    <col min="14854" max="14854" width="12.5703125" style="1" bestFit="1" customWidth="1"/>
    <col min="14855" max="14855" width="16.85546875" style="1" bestFit="1" customWidth="1"/>
    <col min="14856" max="14856" width="11.28515625" style="1" bestFit="1" customWidth="1"/>
    <col min="14857" max="14857" width="20.85546875" style="1" bestFit="1" customWidth="1"/>
    <col min="14858" max="14858" width="10" style="1" bestFit="1" customWidth="1"/>
    <col min="14859" max="15104" width="9.140625" style="1"/>
    <col min="15105" max="15105" width="9" style="1" customWidth="1"/>
    <col min="15106" max="15106" width="47.5703125" style="1" customWidth="1"/>
    <col min="15107" max="15107" width="16.5703125" style="1" bestFit="1" customWidth="1"/>
    <col min="15108" max="15108" width="19.140625" style="1" bestFit="1" customWidth="1"/>
    <col min="15109" max="15109" width="20.5703125" style="1" bestFit="1" customWidth="1"/>
    <col min="15110" max="15110" width="12.5703125" style="1" bestFit="1" customWidth="1"/>
    <col min="15111" max="15111" width="16.85546875" style="1" bestFit="1" customWidth="1"/>
    <col min="15112" max="15112" width="11.28515625" style="1" bestFit="1" customWidth="1"/>
    <col min="15113" max="15113" width="20.85546875" style="1" bestFit="1" customWidth="1"/>
    <col min="15114" max="15114" width="10" style="1" bestFit="1" customWidth="1"/>
    <col min="15115" max="15360" width="9.140625" style="1"/>
    <col min="15361" max="15361" width="9" style="1" customWidth="1"/>
    <col min="15362" max="15362" width="47.5703125" style="1" customWidth="1"/>
    <col min="15363" max="15363" width="16.5703125" style="1" bestFit="1" customWidth="1"/>
    <col min="15364" max="15364" width="19.140625" style="1" bestFit="1" customWidth="1"/>
    <col min="15365" max="15365" width="20.5703125" style="1" bestFit="1" customWidth="1"/>
    <col min="15366" max="15366" width="12.5703125" style="1" bestFit="1" customWidth="1"/>
    <col min="15367" max="15367" width="16.85546875" style="1" bestFit="1" customWidth="1"/>
    <col min="15368" max="15368" width="11.28515625" style="1" bestFit="1" customWidth="1"/>
    <col min="15369" max="15369" width="20.85546875" style="1" bestFit="1" customWidth="1"/>
    <col min="15370" max="15370" width="10" style="1" bestFit="1" customWidth="1"/>
    <col min="15371" max="15616" width="9.140625" style="1"/>
    <col min="15617" max="15617" width="9" style="1" customWidth="1"/>
    <col min="15618" max="15618" width="47.5703125" style="1" customWidth="1"/>
    <col min="15619" max="15619" width="16.5703125" style="1" bestFit="1" customWidth="1"/>
    <col min="15620" max="15620" width="19.140625" style="1" bestFit="1" customWidth="1"/>
    <col min="15621" max="15621" width="20.5703125" style="1" bestFit="1" customWidth="1"/>
    <col min="15622" max="15622" width="12.5703125" style="1" bestFit="1" customWidth="1"/>
    <col min="15623" max="15623" width="16.85546875" style="1" bestFit="1" customWidth="1"/>
    <col min="15624" max="15624" width="11.28515625" style="1" bestFit="1" customWidth="1"/>
    <col min="15625" max="15625" width="20.85546875" style="1" bestFit="1" customWidth="1"/>
    <col min="15626" max="15626" width="10" style="1" bestFit="1" customWidth="1"/>
    <col min="15627" max="15872" width="9.140625" style="1"/>
    <col min="15873" max="15873" width="9" style="1" customWidth="1"/>
    <col min="15874" max="15874" width="47.5703125" style="1" customWidth="1"/>
    <col min="15875" max="15875" width="16.5703125" style="1" bestFit="1" customWidth="1"/>
    <col min="15876" max="15876" width="19.140625" style="1" bestFit="1" customWidth="1"/>
    <col min="15877" max="15877" width="20.5703125" style="1" bestFit="1" customWidth="1"/>
    <col min="15878" max="15878" width="12.5703125" style="1" bestFit="1" customWidth="1"/>
    <col min="15879" max="15879" width="16.85546875" style="1" bestFit="1" customWidth="1"/>
    <col min="15880" max="15880" width="11.28515625" style="1" bestFit="1" customWidth="1"/>
    <col min="15881" max="15881" width="20.85546875" style="1" bestFit="1" customWidth="1"/>
    <col min="15882" max="15882" width="10" style="1" bestFit="1" customWidth="1"/>
    <col min="15883" max="16128" width="9.140625" style="1"/>
    <col min="16129" max="16129" width="9" style="1" customWidth="1"/>
    <col min="16130" max="16130" width="47.5703125" style="1" customWidth="1"/>
    <col min="16131" max="16131" width="16.5703125" style="1" bestFit="1" customWidth="1"/>
    <col min="16132" max="16132" width="19.140625" style="1" bestFit="1" customWidth="1"/>
    <col min="16133" max="16133" width="20.5703125" style="1" bestFit="1" customWidth="1"/>
    <col min="16134" max="16134" width="12.5703125" style="1" bestFit="1" customWidth="1"/>
    <col min="16135" max="16135" width="16.85546875" style="1" bestFit="1" customWidth="1"/>
    <col min="16136" max="16136" width="11.28515625" style="1" bestFit="1" customWidth="1"/>
    <col min="16137" max="16137" width="20.85546875" style="1" bestFit="1" customWidth="1"/>
    <col min="16138" max="16138" width="10" style="1" bestFit="1" customWidth="1"/>
    <col min="16139" max="16384" width="9.140625" style="1"/>
  </cols>
  <sheetData>
    <row r="1" spans="2:9">
      <c r="E1" s="120" t="s">
        <v>0</v>
      </c>
      <c r="G1" s="4"/>
      <c r="H1" s="5"/>
      <c r="I1" s="6"/>
    </row>
    <row r="2" spans="2:9" ht="18.75">
      <c r="B2" s="1419" t="s">
        <v>75</v>
      </c>
      <c r="C2" s="1419"/>
      <c r="D2" s="1419"/>
      <c r="E2" s="1419"/>
      <c r="G2" s="4"/>
      <c r="H2" s="5"/>
      <c r="I2" s="6"/>
    </row>
    <row r="3" spans="2:9">
      <c r="B3" s="1418" t="s">
        <v>94</v>
      </c>
      <c r="C3" s="1418"/>
      <c r="D3" s="1418"/>
      <c r="E3" s="1418"/>
      <c r="G3" s="4"/>
      <c r="H3" s="5"/>
      <c r="I3" s="6"/>
    </row>
    <row r="4" spans="2:9">
      <c r="B4" s="1" t="s">
        <v>93</v>
      </c>
      <c r="G4" s="4"/>
      <c r="H4" s="5"/>
      <c r="I4" s="6"/>
    </row>
    <row r="5" spans="2:9" ht="16.5" thickBot="1">
      <c r="G5" s="4"/>
      <c r="H5" s="5"/>
      <c r="I5" s="6"/>
    </row>
    <row r="6" spans="2:9">
      <c r="B6" s="121" t="s">
        <v>76</v>
      </c>
      <c r="C6" s="122"/>
      <c r="D6" s="122" t="s">
        <v>80</v>
      </c>
      <c r="E6" s="127"/>
      <c r="G6" s="4"/>
      <c r="H6" s="5"/>
      <c r="I6" s="6"/>
    </row>
    <row r="7" spans="2:9">
      <c r="B7" s="123" t="s">
        <v>77</v>
      </c>
      <c r="C7" s="5"/>
      <c r="D7" s="5" t="s">
        <v>81</v>
      </c>
      <c r="E7" s="128"/>
      <c r="G7" s="4"/>
      <c r="H7" s="5"/>
      <c r="I7" s="6"/>
    </row>
    <row r="8" spans="2:9">
      <c r="B8" s="123" t="s">
        <v>78</v>
      </c>
      <c r="C8" s="5"/>
      <c r="D8" s="146">
        <v>42927</v>
      </c>
      <c r="E8" s="130"/>
      <c r="G8" s="5"/>
      <c r="H8" s="5"/>
      <c r="I8" s="6"/>
    </row>
    <row r="9" spans="2:9">
      <c r="B9" s="123" t="s">
        <v>97</v>
      </c>
      <c r="C9" s="5"/>
      <c r="D9" s="124" t="s">
        <v>82</v>
      </c>
      <c r="E9" s="130"/>
      <c r="G9" s="5"/>
      <c r="H9" s="5"/>
      <c r="I9" s="6"/>
    </row>
    <row r="10" spans="2:9">
      <c r="B10" s="123" t="s">
        <v>98</v>
      </c>
      <c r="C10" s="5"/>
      <c r="D10" s="124" t="s">
        <v>83</v>
      </c>
      <c r="E10" s="130"/>
      <c r="G10" s="5"/>
      <c r="H10" s="5"/>
      <c r="I10" s="6"/>
    </row>
    <row r="11" spans="2:9" ht="16.5" thickBot="1">
      <c r="B11" s="125" t="s">
        <v>79</v>
      </c>
      <c r="C11" s="126"/>
      <c r="D11" s="145" t="s">
        <v>84</v>
      </c>
      <c r="E11" s="131"/>
      <c r="G11" s="4"/>
      <c r="H11" s="5"/>
      <c r="I11" s="6"/>
    </row>
    <row r="12" spans="2:9">
      <c r="C12" s="7"/>
      <c r="G12" s="4"/>
      <c r="H12" s="5"/>
      <c r="I12" s="6"/>
    </row>
    <row r="13" spans="2:9">
      <c r="B13" s="1420" t="s">
        <v>74</v>
      </c>
      <c r="C13" s="1420"/>
      <c r="D13" s="1420"/>
      <c r="E13" s="1420"/>
      <c r="G13" s="5"/>
      <c r="H13" s="5"/>
      <c r="I13" s="6"/>
    </row>
    <row r="14" spans="2:9">
      <c r="G14" s="5"/>
      <c r="H14" s="10"/>
      <c r="I14" s="11"/>
    </row>
    <row r="15" spans="2:9" ht="16.5" thickBot="1">
      <c r="B15" s="1417" t="s">
        <v>1</v>
      </c>
      <c r="C15" s="1417"/>
      <c r="D15" s="1417"/>
      <c r="E15" s="1417"/>
      <c r="G15" s="5"/>
      <c r="H15" s="10"/>
      <c r="I15" s="12"/>
    </row>
    <row r="16" spans="2:9" ht="16.5" thickTop="1">
      <c r="E16" s="13" t="s">
        <v>2</v>
      </c>
      <c r="G16" s="5"/>
      <c r="H16" s="14"/>
      <c r="I16" s="12"/>
    </row>
    <row r="17" spans="2:9">
      <c r="G17" s="5"/>
      <c r="H17" s="14"/>
      <c r="I17" s="12"/>
    </row>
    <row r="18" spans="2:9">
      <c r="B18" s="7" t="s">
        <v>3</v>
      </c>
      <c r="C18" s="7"/>
      <c r="D18" s="9"/>
      <c r="E18" s="3">
        <f>D24</f>
        <v>218038140</v>
      </c>
      <c r="G18" s="5"/>
      <c r="H18" s="14"/>
      <c r="I18" s="12"/>
    </row>
    <row r="19" spans="2:9">
      <c r="B19" s="7"/>
      <c r="C19" s="7"/>
      <c r="D19" s="9"/>
      <c r="G19" s="5"/>
      <c r="H19" s="14"/>
      <c r="I19" s="12"/>
    </row>
    <row r="20" spans="2:9">
      <c r="B20" s="1" t="s">
        <v>4</v>
      </c>
      <c r="D20" s="9"/>
      <c r="G20" s="5"/>
      <c r="H20" s="14"/>
      <c r="I20" s="12"/>
    </row>
    <row r="21" spans="2:9">
      <c r="B21" s="1" t="s">
        <v>5</v>
      </c>
      <c r="D21" s="2">
        <v>220000000</v>
      </c>
      <c r="G21" s="5"/>
      <c r="H21" s="10"/>
      <c r="I21" s="12"/>
    </row>
    <row r="22" spans="2:9">
      <c r="G22" s="5"/>
      <c r="H22" s="14"/>
      <c r="I22" s="12"/>
    </row>
    <row r="23" spans="2:9">
      <c r="B23" s="1" t="s">
        <v>6</v>
      </c>
      <c r="G23" s="5"/>
      <c r="H23" s="14"/>
      <c r="I23" s="12"/>
    </row>
    <row r="24" spans="2:9">
      <c r="B24" s="1" t="s">
        <v>31</v>
      </c>
      <c r="D24" s="2">
        <v>218038140</v>
      </c>
      <c r="G24" s="5"/>
      <c r="H24" s="14"/>
      <c r="I24" s="12"/>
    </row>
    <row r="25" spans="2:9">
      <c r="G25" s="5"/>
      <c r="H25" s="15"/>
      <c r="I25" s="16"/>
    </row>
    <row r="26" spans="2:9">
      <c r="B26" s="7" t="s">
        <v>7</v>
      </c>
      <c r="C26" s="7"/>
      <c r="D26" s="9"/>
      <c r="E26" s="3">
        <f>C28+C29</f>
        <v>-24899855</v>
      </c>
    </row>
    <row r="28" spans="2:9">
      <c r="B28" s="1" t="s">
        <v>8</v>
      </c>
      <c r="C28" s="17">
        <v>-23776455</v>
      </c>
    </row>
    <row r="29" spans="2:9">
      <c r="B29" s="1" t="s">
        <v>9</v>
      </c>
      <c r="C29" s="17">
        <f>-1123400</f>
        <v>-1123400</v>
      </c>
    </row>
    <row r="31" spans="2:9">
      <c r="B31" s="7" t="s">
        <v>10</v>
      </c>
      <c r="C31" s="7"/>
      <c r="E31" s="3">
        <f>D34+D37</f>
        <v>528605523</v>
      </c>
    </row>
    <row r="33" spans="2:7">
      <c r="B33" s="7" t="s">
        <v>11</v>
      </c>
    </row>
    <row r="34" spans="2:7">
      <c r="B34" s="18" t="s">
        <v>12</v>
      </c>
      <c r="C34" s="18"/>
      <c r="D34" s="9">
        <f>SUM(D35:D35)</f>
        <v>527605523</v>
      </c>
      <c r="F34" s="17"/>
    </row>
    <row r="35" spans="2:7">
      <c r="B35" s="1" t="s">
        <v>32</v>
      </c>
      <c r="D35" s="2">
        <v>527605523</v>
      </c>
    </row>
    <row r="37" spans="2:7">
      <c r="B37" s="19" t="s">
        <v>13</v>
      </c>
      <c r="D37" s="9">
        <f>SUM(D38:D40)</f>
        <v>1000000</v>
      </c>
    </row>
    <row r="38" spans="2:7">
      <c r="B38" s="7" t="s">
        <v>14</v>
      </c>
    </row>
    <row r="39" spans="2:7">
      <c r="B39" s="1" t="s">
        <v>33</v>
      </c>
      <c r="D39" s="2">
        <v>0</v>
      </c>
    </row>
    <row r="40" spans="2:7">
      <c r="B40" s="1" t="s">
        <v>34</v>
      </c>
      <c r="D40" s="2">
        <v>1000000</v>
      </c>
    </row>
    <row r="42" spans="2:7">
      <c r="B42" s="7" t="s">
        <v>15</v>
      </c>
      <c r="C42" s="7"/>
      <c r="D42" s="9"/>
      <c r="E42" s="3">
        <v>0</v>
      </c>
    </row>
    <row r="43" spans="2:7">
      <c r="B43" s="5"/>
      <c r="C43" s="5"/>
    </row>
    <row r="44" spans="2:7">
      <c r="B44" s="4" t="s">
        <v>16</v>
      </c>
      <c r="C44" s="4"/>
      <c r="D44" s="20"/>
      <c r="E44" s="6">
        <f>SUM(D46:D48)</f>
        <v>73543742</v>
      </c>
    </row>
    <row r="45" spans="2:7">
      <c r="B45" s="5"/>
      <c r="C45" s="5"/>
      <c r="D45" s="21"/>
      <c r="E45" s="6"/>
    </row>
    <row r="46" spans="2:7">
      <c r="B46" s="1" t="s">
        <v>17</v>
      </c>
      <c r="D46" s="2">
        <v>47695406</v>
      </c>
    </row>
    <row r="47" spans="2:7">
      <c r="B47" s="1" t="s">
        <v>36</v>
      </c>
      <c r="D47" s="2">
        <v>9932153</v>
      </c>
      <c r="E47" s="1"/>
    </row>
    <row r="48" spans="2:7">
      <c r="B48" s="1" t="s">
        <v>18</v>
      </c>
      <c r="D48" s="2">
        <v>15916183</v>
      </c>
      <c r="E48" s="1"/>
      <c r="G48" s="7"/>
    </row>
    <row r="50" spans="2:8">
      <c r="B50" s="7" t="s">
        <v>16</v>
      </c>
      <c r="C50" s="7"/>
      <c r="E50" s="3">
        <f>+D51</f>
        <v>0</v>
      </c>
    </row>
    <row r="51" spans="2:8">
      <c r="B51" s="1" t="s">
        <v>19</v>
      </c>
      <c r="D51" s="22">
        <v>0</v>
      </c>
    </row>
    <row r="52" spans="2:8">
      <c r="D52" s="22"/>
      <c r="H52" s="17"/>
    </row>
    <row r="53" spans="2:8" ht="16.5" thickBot="1">
      <c r="B53" s="23" t="s">
        <v>20</v>
      </c>
      <c r="C53" s="23"/>
      <c r="D53" s="24"/>
      <c r="E53" s="25">
        <f>E18+E26+E31+E42+E44+E50</f>
        <v>795287550</v>
      </c>
      <c r="G53" s="17"/>
      <c r="H53" s="17"/>
    </row>
    <row r="54" spans="2:8" ht="16.5" thickTop="1">
      <c r="B54" s="5"/>
      <c r="C54" s="5"/>
      <c r="D54" s="21"/>
      <c r="E54" s="6"/>
    </row>
    <row r="55" spans="2:8" ht="16.5" thickBot="1">
      <c r="B55" s="1417" t="s">
        <v>21</v>
      </c>
      <c r="C55" s="1417"/>
      <c r="D55" s="1417"/>
      <c r="E55" s="1417"/>
      <c r="H55" s="17"/>
    </row>
    <row r="56" spans="2:8" ht="16.5" thickTop="1"/>
    <row r="57" spans="2:8">
      <c r="B57" s="7" t="s">
        <v>22</v>
      </c>
      <c r="C57" s="7"/>
      <c r="E57" s="3">
        <v>795216138</v>
      </c>
    </row>
    <row r="59" spans="2:8">
      <c r="B59" s="7" t="s">
        <v>23</v>
      </c>
      <c r="C59" s="7"/>
      <c r="E59" s="3">
        <f>SUM(D61:D61)</f>
        <v>40812</v>
      </c>
    </row>
    <row r="60" spans="2:8">
      <c r="B60" s="5"/>
      <c r="C60" s="5"/>
      <c r="D60" s="21"/>
    </row>
    <row r="61" spans="2:8">
      <c r="B61" s="1" t="s">
        <v>35</v>
      </c>
      <c r="D61" s="2">
        <v>40812</v>
      </c>
    </row>
    <row r="63" spans="2:8">
      <c r="B63" s="7" t="s">
        <v>24</v>
      </c>
      <c r="C63" s="7"/>
      <c r="D63" s="9"/>
      <c r="E63" s="3">
        <f>SUM(D64:D64)</f>
        <v>0</v>
      </c>
    </row>
    <row r="65" spans="2:8">
      <c r="B65" s="7" t="s">
        <v>25</v>
      </c>
      <c r="C65" s="7"/>
      <c r="D65" s="9"/>
      <c r="E65" s="3">
        <v>0</v>
      </c>
    </row>
    <row r="67" spans="2:8">
      <c r="B67" s="7" t="s">
        <v>26</v>
      </c>
      <c r="C67" s="7"/>
      <c r="D67" s="9"/>
      <c r="E67" s="3">
        <f>SUM(D69:D71)</f>
        <v>30600</v>
      </c>
    </row>
    <row r="69" spans="2:8">
      <c r="B69" s="1" t="s">
        <v>27</v>
      </c>
      <c r="D69" s="2">
        <v>1899</v>
      </c>
    </row>
    <row r="70" spans="2:8">
      <c r="B70" s="1" t="s">
        <v>28</v>
      </c>
      <c r="D70" s="2">
        <v>28701</v>
      </c>
    </row>
    <row r="72" spans="2:8">
      <c r="B72" s="7" t="s">
        <v>29</v>
      </c>
      <c r="C72" s="7"/>
      <c r="D72" s="9"/>
      <c r="E72" s="3">
        <v>0</v>
      </c>
    </row>
    <row r="75" spans="2:8" ht="16.5" thickBot="1">
      <c r="B75" s="23" t="s">
        <v>30</v>
      </c>
      <c r="C75" s="23"/>
      <c r="D75" s="26"/>
      <c r="E75" s="25">
        <f>E57+E59+E63+E65+E67+E72</f>
        <v>795287550</v>
      </c>
      <c r="G75" s="17">
        <f>E75-E53</f>
        <v>0</v>
      </c>
      <c r="H75" s="17"/>
    </row>
    <row r="76" spans="2:8" ht="16.5" thickTop="1"/>
    <row r="79" spans="2:8">
      <c r="E79" s="3">
        <f>+E53-E75</f>
        <v>0</v>
      </c>
    </row>
  </sheetData>
  <mergeCells count="5">
    <mergeCell ref="B15:E15"/>
    <mergeCell ref="B55:E55"/>
    <mergeCell ref="B3:E3"/>
    <mergeCell ref="B2:E2"/>
    <mergeCell ref="B13:E13"/>
  </mergeCells>
  <pageMargins left="0.74803149606299213" right="0.19685039370078741" top="0.59055118110236227" bottom="0.43307086614173229" header="0.31496062992125984" footer="0.15748031496062992"/>
  <pageSetup paperSize="5" scale="79" orientation="portrait" r:id="rId1"/>
  <colBreaks count="1" manualBreakCount="1">
    <brk id="5" max="1048575" man="1"/>
  </colBreaks>
</worksheet>
</file>

<file path=xl/worksheets/sheet10.xml><?xml version="1.0" encoding="utf-8"?>
<worksheet xmlns="http://schemas.openxmlformats.org/spreadsheetml/2006/main" xmlns:r="http://schemas.openxmlformats.org/officeDocument/2006/relationships">
  <sheetPr>
    <tabColor rgb="FFFF0000"/>
  </sheetPr>
  <dimension ref="B1:I20"/>
  <sheetViews>
    <sheetView topLeftCell="A4" workbookViewId="0">
      <selection activeCell="E19" sqref="E19"/>
    </sheetView>
  </sheetViews>
  <sheetFormatPr defaultColWidth="11.140625" defaultRowHeight="15"/>
  <cols>
    <col min="1" max="1" width="4.5703125" style="228" customWidth="1"/>
    <col min="2" max="2" width="8.42578125" style="228" customWidth="1"/>
    <col min="3" max="3" width="11.5703125" style="228" bestFit="1" customWidth="1"/>
    <col min="4" max="4" width="37.42578125" style="228" bestFit="1" customWidth="1"/>
    <col min="5" max="5" width="18.7109375" style="228" customWidth="1"/>
    <col min="6" max="6" width="25.85546875" style="228" customWidth="1"/>
    <col min="7" max="7" width="13" style="110" customWidth="1"/>
    <col min="8" max="8" width="13.5703125" style="112" customWidth="1"/>
    <col min="9" max="9" width="17" style="228" bestFit="1" customWidth="1"/>
    <col min="10" max="16384" width="11.140625" style="228"/>
  </cols>
  <sheetData>
    <row r="1" spans="2:9" ht="15.75">
      <c r="B1" s="8"/>
      <c r="C1" s="27"/>
      <c r="D1" s="27"/>
      <c r="E1" s="195"/>
      <c r="F1" s="27"/>
      <c r="G1" s="108"/>
      <c r="H1" s="42"/>
      <c r="I1" s="197"/>
    </row>
    <row r="2" spans="2:9" ht="18.75">
      <c r="B2" s="1438" t="s">
        <v>75</v>
      </c>
      <c r="C2" s="1438"/>
      <c r="D2" s="1438"/>
      <c r="E2" s="1438"/>
      <c r="F2" s="1438"/>
      <c r="G2" s="1438"/>
      <c r="H2" s="1438"/>
      <c r="I2" s="1438"/>
    </row>
    <row r="3" spans="2:9" ht="15.75">
      <c r="B3" s="1439" t="s">
        <v>85</v>
      </c>
      <c r="C3" s="1439"/>
      <c r="D3" s="1439"/>
      <c r="E3" s="1439"/>
      <c r="F3" s="1439"/>
      <c r="G3" s="1439"/>
      <c r="H3" s="1439"/>
      <c r="I3" s="1439"/>
    </row>
    <row r="4" spans="2:9" ht="15.75">
      <c r="B4" s="5"/>
      <c r="C4" s="5"/>
      <c r="D4" s="21"/>
      <c r="E4" s="6"/>
      <c r="F4" s="29"/>
      <c r="G4" s="133"/>
      <c r="H4" s="134"/>
      <c r="I4" s="29"/>
    </row>
    <row r="5" spans="2:9" ht="16.5" thickBot="1">
      <c r="B5" s="5"/>
      <c r="C5" s="5"/>
      <c r="D5" s="21"/>
      <c r="E5" s="6"/>
      <c r="F5" s="29"/>
      <c r="G5" s="133"/>
      <c r="H5" s="134"/>
      <c r="I5" s="99"/>
    </row>
    <row r="6" spans="2:9" ht="15.75">
      <c r="B6" s="1424" t="s">
        <v>76</v>
      </c>
      <c r="C6" s="1425"/>
      <c r="D6" s="1425"/>
      <c r="E6" s="1425"/>
      <c r="F6" s="165" t="s">
        <v>258</v>
      </c>
      <c r="G6" s="133"/>
      <c r="H6" s="134"/>
      <c r="I6" s="29"/>
    </row>
    <row r="7" spans="2:9" ht="15.75">
      <c r="B7" s="1426" t="s">
        <v>77</v>
      </c>
      <c r="C7" s="1427"/>
      <c r="D7" s="1427"/>
      <c r="E7" s="1427"/>
      <c r="F7" s="166" t="s">
        <v>366</v>
      </c>
      <c r="G7" s="133"/>
      <c r="H7" s="134"/>
      <c r="I7" s="29"/>
    </row>
    <row r="8" spans="2:9" ht="15.75">
      <c r="B8" s="1426" t="s">
        <v>78</v>
      </c>
      <c r="C8" s="1427"/>
      <c r="D8" s="1427"/>
      <c r="E8" s="1427"/>
      <c r="F8" s="167">
        <v>43133</v>
      </c>
      <c r="G8" s="133"/>
      <c r="H8" s="134"/>
      <c r="I8" s="29"/>
    </row>
    <row r="9" spans="2:9" ht="15.75">
      <c r="B9" s="1426" t="s">
        <v>183</v>
      </c>
      <c r="C9" s="1427"/>
      <c r="D9" s="1427"/>
      <c r="E9" s="1427"/>
      <c r="F9" s="167">
        <v>43314</v>
      </c>
      <c r="G9" s="133"/>
      <c r="H9" s="134"/>
      <c r="I9" s="29"/>
    </row>
    <row r="10" spans="2:9" ht="15.75">
      <c r="B10" s="1426" t="s">
        <v>184</v>
      </c>
      <c r="C10" s="1427"/>
      <c r="D10" s="1427"/>
      <c r="E10" s="1427"/>
      <c r="F10" s="305">
        <v>43014</v>
      </c>
      <c r="G10" s="133"/>
      <c r="H10" s="134"/>
      <c r="I10" s="29"/>
    </row>
    <row r="11" spans="2:9" ht="15.75">
      <c r="B11" s="1426" t="s">
        <v>97</v>
      </c>
      <c r="C11" s="1427"/>
      <c r="D11" s="1427"/>
      <c r="E11" s="1427"/>
      <c r="F11" s="167" t="s">
        <v>259</v>
      </c>
      <c r="G11" s="133"/>
      <c r="H11" s="134"/>
      <c r="I11" s="29"/>
    </row>
    <row r="12" spans="2:9" ht="15.75">
      <c r="B12" s="1426" t="s">
        <v>98</v>
      </c>
      <c r="C12" s="1427"/>
      <c r="D12" s="1427"/>
      <c r="E12" s="1427"/>
      <c r="F12" s="167" t="s">
        <v>260</v>
      </c>
      <c r="G12" s="133"/>
      <c r="H12" s="134"/>
      <c r="I12" s="29"/>
    </row>
    <row r="13" spans="2:9" ht="16.5" thickBot="1">
      <c r="B13" s="1428" t="s">
        <v>79</v>
      </c>
      <c r="C13" s="1429"/>
      <c r="D13" s="1429"/>
      <c r="E13" s="1429"/>
      <c r="F13" s="168" t="s">
        <v>110</v>
      </c>
      <c r="G13" s="133"/>
      <c r="H13" s="134"/>
      <c r="I13" s="29"/>
    </row>
    <row r="14" spans="2:9" ht="15.75">
      <c r="B14" s="5"/>
      <c r="C14" s="99"/>
      <c r="D14" s="21"/>
      <c r="E14" s="5"/>
      <c r="F14" s="29"/>
      <c r="G14" s="133"/>
      <c r="H14" s="134"/>
      <c r="I14" s="29"/>
    </row>
    <row r="15" spans="2:9" ht="15.75">
      <c r="B15" s="1436" t="s">
        <v>177</v>
      </c>
      <c r="C15" s="1436"/>
      <c r="D15" s="1436"/>
      <c r="E15" s="1436"/>
      <c r="F15" s="1436"/>
      <c r="G15" s="1436"/>
      <c r="H15" s="1436"/>
      <c r="I15" s="1436"/>
    </row>
    <row r="16" spans="2:9" ht="15.75">
      <c r="B16" s="1436" t="s">
        <v>185</v>
      </c>
      <c r="C16" s="1436"/>
      <c r="D16" s="1436"/>
      <c r="E16" s="1436"/>
      <c r="F16" s="1436"/>
      <c r="G16" s="1436"/>
      <c r="H16" s="1436"/>
      <c r="I16" s="1436"/>
    </row>
    <row r="17" spans="2:9" ht="15.75">
      <c r="B17" s="129"/>
      <c r="C17" s="29"/>
      <c r="D17" s="29"/>
      <c r="E17" s="54"/>
      <c r="F17" s="1440"/>
      <c r="G17" s="1440"/>
      <c r="H17" s="1440"/>
      <c r="I17" s="1440"/>
    </row>
    <row r="18" spans="2:9" ht="15.75">
      <c r="B18" s="136"/>
      <c r="C18" s="137"/>
      <c r="D18" s="138"/>
      <c r="E18" s="136"/>
      <c r="F18" s="136"/>
      <c r="G18" s="229"/>
      <c r="H18" s="230"/>
      <c r="I18" s="136"/>
    </row>
    <row r="19" spans="2:9" ht="15.75">
      <c r="B19" s="358" t="s">
        <v>176</v>
      </c>
      <c r="C19" s="359" t="s">
        <v>301</v>
      </c>
      <c r="D19" s="360"/>
      <c r="E19" s="139"/>
      <c r="F19" s="136"/>
      <c r="G19" s="229"/>
      <c r="H19" s="230"/>
      <c r="I19" s="136"/>
    </row>
    <row r="20" spans="2:9" ht="15.75">
      <c r="B20" s="136"/>
      <c r="C20" s="137"/>
      <c r="D20" s="138"/>
      <c r="F20" s="139"/>
      <c r="G20" s="140"/>
      <c r="H20" s="141"/>
      <c r="I20" s="139"/>
    </row>
  </sheetData>
  <mergeCells count="13">
    <mergeCell ref="B2:I2"/>
    <mergeCell ref="B3:I3"/>
    <mergeCell ref="B15:I15"/>
    <mergeCell ref="B16:I16"/>
    <mergeCell ref="F17:I17"/>
    <mergeCell ref="B6:E6"/>
    <mergeCell ref="B7:E7"/>
    <mergeCell ref="B8:E8"/>
    <mergeCell ref="B9:E9"/>
    <mergeCell ref="B10:E10"/>
    <mergeCell ref="B11:E11"/>
    <mergeCell ref="B12:E12"/>
    <mergeCell ref="B13:E13"/>
  </mergeCells>
  <pageMargins left="0.70866141732283505" right="0.28999999999999998" top="0.35433070866141703" bottom="0.27559055118110198" header="0.31496062992126" footer="0.31496062992126"/>
  <pageSetup paperSize="9" scale="90" orientation="landscape" r:id="rId1"/>
</worksheet>
</file>

<file path=xl/worksheets/sheet11.xml><?xml version="1.0" encoding="utf-8"?>
<worksheet xmlns="http://schemas.openxmlformats.org/spreadsheetml/2006/main" xmlns:r="http://schemas.openxmlformats.org/officeDocument/2006/relationships">
  <dimension ref="A1:E17"/>
  <sheetViews>
    <sheetView topLeftCell="A5" workbookViewId="0">
      <selection activeCell="G13" sqref="G13"/>
    </sheetView>
  </sheetViews>
  <sheetFormatPr defaultColWidth="9.140625" defaultRowHeight="15.75"/>
  <cols>
    <col min="1" max="1" width="5.140625" style="27" bestFit="1" customWidth="1"/>
    <col min="2" max="2" width="18.28515625" style="27" customWidth="1"/>
    <col min="3" max="3" width="25.7109375" style="27" customWidth="1"/>
    <col min="4" max="4" width="37.85546875" style="27" customWidth="1"/>
    <col min="5" max="5" width="17" style="914" customWidth="1"/>
    <col min="6" max="16384" width="9.140625" style="27"/>
  </cols>
  <sheetData>
    <row r="1" spans="1:5">
      <c r="E1" s="913" t="s">
        <v>250</v>
      </c>
    </row>
    <row r="2" spans="1:5">
      <c r="A2" s="1422" t="s">
        <v>75</v>
      </c>
      <c r="B2" s="1422"/>
      <c r="C2" s="1422"/>
      <c r="D2" s="1422"/>
      <c r="E2" s="1422"/>
    </row>
    <row r="3" spans="1:5" ht="42" customHeight="1" thickBot="1">
      <c r="A3" s="1423" t="s">
        <v>160</v>
      </c>
      <c r="B3" s="1423"/>
      <c r="C3" s="1423"/>
      <c r="D3" s="1423"/>
      <c r="E3" s="1423"/>
    </row>
    <row r="4" spans="1:5">
      <c r="B4" s="121" t="s">
        <v>76</v>
      </c>
      <c r="C4" s="915"/>
      <c r="D4" s="917" t="s">
        <v>2869</v>
      </c>
      <c r="E4" s="27"/>
    </row>
    <row r="5" spans="1:5">
      <c r="B5" s="123" t="s">
        <v>77</v>
      </c>
      <c r="C5" s="29"/>
      <c r="D5" s="814" t="s">
        <v>2870</v>
      </c>
      <c r="E5" s="27"/>
    </row>
    <row r="6" spans="1:5">
      <c r="B6" s="123" t="s">
        <v>78</v>
      </c>
      <c r="C6" s="29"/>
      <c r="D6" s="874" t="s">
        <v>2871</v>
      </c>
      <c r="E6" s="27"/>
    </row>
    <row r="7" spans="1:5">
      <c r="B7" s="123" t="s">
        <v>183</v>
      </c>
      <c r="C7" s="29"/>
      <c r="D7" s="874" t="s">
        <v>2872</v>
      </c>
      <c r="E7" s="27"/>
    </row>
    <row r="8" spans="1:5">
      <c r="B8" s="123" t="s">
        <v>97</v>
      </c>
      <c r="C8" s="29"/>
      <c r="D8" s="918">
        <v>43190</v>
      </c>
      <c r="E8" s="27"/>
    </row>
    <row r="9" spans="1:5">
      <c r="B9" s="123" t="s">
        <v>98</v>
      </c>
      <c r="C9" s="29"/>
      <c r="D9" s="874" t="s">
        <v>2873</v>
      </c>
      <c r="E9" s="27"/>
    </row>
    <row r="10" spans="1:5" ht="34.5" customHeight="1" thickBot="1">
      <c r="B10" s="125" t="s">
        <v>79</v>
      </c>
      <c r="C10" s="916"/>
      <c r="D10" s="919" t="s">
        <v>2872</v>
      </c>
      <c r="E10" s="27"/>
    </row>
    <row r="12" spans="1:5">
      <c r="A12" s="1421" t="s">
        <v>147</v>
      </c>
      <c r="B12" s="1421"/>
      <c r="C12" s="1421"/>
      <c r="D12" s="1421"/>
      <c r="E12" s="1421"/>
    </row>
    <row r="14" spans="1:5" ht="29.25" customHeight="1">
      <c r="A14" s="923" t="s">
        <v>144</v>
      </c>
      <c r="B14" s="923" t="s">
        <v>2874</v>
      </c>
      <c r="C14" s="923" t="s">
        <v>145</v>
      </c>
      <c r="D14" s="923" t="s">
        <v>2408</v>
      </c>
      <c r="E14" s="923" t="s">
        <v>2875</v>
      </c>
    </row>
    <row r="15" spans="1:5" ht="47.25">
      <c r="A15" s="920">
        <v>1</v>
      </c>
      <c r="B15" s="761" t="s">
        <v>2901</v>
      </c>
      <c r="C15" s="921" t="s">
        <v>271</v>
      </c>
      <c r="D15" s="922" t="s">
        <v>2909</v>
      </c>
      <c r="E15" s="761" t="s">
        <v>2904</v>
      </c>
    </row>
    <row r="16" spans="1:5" ht="31.5">
      <c r="A16" s="920">
        <v>2</v>
      </c>
      <c r="B16" s="761" t="s">
        <v>2902</v>
      </c>
      <c r="C16" s="920" t="s">
        <v>109</v>
      </c>
      <c r="D16" s="922" t="s">
        <v>2910</v>
      </c>
      <c r="E16" s="761" t="s">
        <v>2905</v>
      </c>
    </row>
    <row r="17" spans="1:5" ht="47.25">
      <c r="A17" s="920">
        <v>3</v>
      </c>
      <c r="B17" s="761" t="s">
        <v>2903</v>
      </c>
      <c r="C17" s="920" t="s">
        <v>109</v>
      </c>
      <c r="D17" s="922" t="s">
        <v>2911</v>
      </c>
      <c r="E17" s="761" t="s">
        <v>2906</v>
      </c>
    </row>
  </sheetData>
  <mergeCells count="3">
    <mergeCell ref="A2:E2"/>
    <mergeCell ref="A3:E3"/>
    <mergeCell ref="A12:E12"/>
  </mergeCells>
  <pageMargins left="0.95" right="0.3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dimension ref="B1:I229"/>
  <sheetViews>
    <sheetView view="pageBreakPreview" topLeftCell="A2" zoomScaleSheetLayoutView="100" workbookViewId="0">
      <selection activeCell="B13" sqref="B13:D13"/>
    </sheetView>
  </sheetViews>
  <sheetFormatPr defaultColWidth="9.140625" defaultRowHeight="20.25"/>
  <cols>
    <col min="1" max="1" width="5" style="928" customWidth="1"/>
    <col min="2" max="2" width="6.42578125" style="926" bestFit="1" customWidth="1"/>
    <col min="3" max="3" width="53.7109375" style="927" bestFit="1" customWidth="1"/>
    <col min="4" max="4" width="43.85546875" style="956" customWidth="1"/>
    <col min="5" max="5" width="9.140625" style="928" customWidth="1"/>
    <col min="6" max="6" width="18" style="928" customWidth="1"/>
    <col min="7" max="7" width="15.85546875" style="928" bestFit="1" customWidth="1"/>
    <col min="8" max="8" width="17" style="928" bestFit="1" customWidth="1"/>
    <col min="9" max="9" width="14.28515625" style="928" bestFit="1" customWidth="1"/>
    <col min="10" max="16384" width="9.140625" style="928"/>
  </cols>
  <sheetData>
    <row r="1" spans="2:9" ht="21" thickBot="1"/>
    <row r="2" spans="2:9" ht="21" thickBot="1">
      <c r="B2" s="1442" t="s">
        <v>75</v>
      </c>
      <c r="C2" s="1443"/>
      <c r="D2" s="1444"/>
    </row>
    <row r="3" spans="2:9" ht="44.25" customHeight="1">
      <c r="B3" s="1445" t="s">
        <v>160</v>
      </c>
      <c r="C3" s="1446"/>
      <c r="D3" s="1447"/>
    </row>
    <row r="4" spans="2:9" ht="17.100000000000001" customHeight="1">
      <c r="B4" s="1451" t="s">
        <v>76</v>
      </c>
      <c r="C4" s="1452"/>
      <c r="D4" s="1266" t="s">
        <v>3208</v>
      </c>
    </row>
    <row r="5" spans="2:9" ht="17.100000000000001" customHeight="1">
      <c r="B5" s="1451" t="s">
        <v>2545</v>
      </c>
      <c r="C5" s="1452"/>
      <c r="D5" s="1032" t="s">
        <v>2922</v>
      </c>
    </row>
    <row r="6" spans="2:9" ht="17.100000000000001" customHeight="1">
      <c r="B6" s="1451" t="s">
        <v>78</v>
      </c>
      <c r="C6" s="1452"/>
      <c r="D6" s="1267" t="s">
        <v>3209</v>
      </c>
    </row>
    <row r="7" spans="2:9" ht="17.100000000000001" customHeight="1">
      <c r="B7" s="1451" t="s">
        <v>183</v>
      </c>
      <c r="C7" s="1452"/>
      <c r="D7" s="1033"/>
    </row>
    <row r="8" spans="2:9" ht="17.100000000000001" customHeight="1">
      <c r="B8" s="1451" t="s">
        <v>3211</v>
      </c>
      <c r="C8" s="1452"/>
      <c r="D8" s="1267" t="s">
        <v>3212</v>
      </c>
    </row>
    <row r="9" spans="2:9" ht="16.5" customHeight="1">
      <c r="B9" s="1453" t="s">
        <v>2963</v>
      </c>
      <c r="C9" s="1454"/>
      <c r="D9" s="1034" t="s">
        <v>3210</v>
      </c>
      <c r="E9" s="988"/>
      <c r="F9" s="988"/>
      <c r="G9" s="988"/>
      <c r="H9" s="988"/>
      <c r="I9" s="991"/>
    </row>
    <row r="10" spans="2:9" ht="17.25" hidden="1" customHeight="1">
      <c r="B10" s="1035"/>
      <c r="C10" s="1006" t="s">
        <v>98</v>
      </c>
      <c r="D10" s="1036">
        <v>41364</v>
      </c>
      <c r="E10" s="988"/>
      <c r="F10" s="988"/>
      <c r="G10" s="988"/>
      <c r="H10" s="988"/>
      <c r="I10" s="991"/>
    </row>
    <row r="11" spans="2:9" ht="17.100000000000001" customHeight="1">
      <c r="B11" s="1451" t="s">
        <v>79</v>
      </c>
      <c r="C11" s="1452"/>
      <c r="D11" s="1036"/>
      <c r="E11" s="988"/>
      <c r="F11" s="988"/>
      <c r="G11" s="988"/>
      <c r="H11" s="988"/>
      <c r="I11" s="991"/>
    </row>
    <row r="12" spans="2:9" ht="11.25" customHeight="1" thickBot="1">
      <c r="B12" s="1455"/>
      <c r="C12" s="1456"/>
      <c r="D12" s="1457"/>
    </row>
    <row r="13" spans="2:9" ht="87" customHeight="1" thickBot="1">
      <c r="B13" s="1448" t="s">
        <v>2962</v>
      </c>
      <c r="C13" s="1449"/>
      <c r="D13" s="1450"/>
    </row>
    <row r="14" spans="2:9" s="947" customFormat="1" ht="68.25" customHeight="1" thickBot="1">
      <c r="B14" s="948" t="s">
        <v>68</v>
      </c>
      <c r="C14" s="948" t="s">
        <v>2876</v>
      </c>
      <c r="D14" s="949" t="s">
        <v>2941</v>
      </c>
      <c r="F14" s="950"/>
    </row>
    <row r="15" spans="2:9" ht="15" customHeight="1">
      <c r="B15" s="929" t="s">
        <v>2877</v>
      </c>
      <c r="C15" s="930" t="s">
        <v>2878</v>
      </c>
      <c r="D15" s="945"/>
    </row>
    <row r="16" spans="2:9" ht="15" customHeight="1">
      <c r="B16" s="931">
        <v>1</v>
      </c>
      <c r="C16" s="932" t="s">
        <v>2907</v>
      </c>
      <c r="D16" s="946"/>
    </row>
    <row r="17" spans="2:6" ht="15" customHeight="1">
      <c r="B17" s="931" t="s">
        <v>2879</v>
      </c>
      <c r="C17" s="933" t="s">
        <v>22</v>
      </c>
      <c r="D17" s="1037"/>
    </row>
    <row r="18" spans="2:6" ht="15" customHeight="1">
      <c r="B18" s="931" t="s">
        <v>2880</v>
      </c>
      <c r="C18" s="933" t="s">
        <v>2942</v>
      </c>
      <c r="D18" s="946">
        <v>0</v>
      </c>
    </row>
    <row r="19" spans="2:6" ht="15" customHeight="1">
      <c r="B19" s="931" t="s">
        <v>2881</v>
      </c>
      <c r="C19" s="933" t="s">
        <v>2943</v>
      </c>
      <c r="D19" s="1038"/>
    </row>
    <row r="20" spans="2:6" ht="15" customHeight="1">
      <c r="B20" s="931" t="s">
        <v>2882</v>
      </c>
      <c r="C20" s="933" t="s">
        <v>2958</v>
      </c>
      <c r="D20" s="946">
        <v>0</v>
      </c>
    </row>
    <row r="21" spans="2:6" ht="15" customHeight="1">
      <c r="B21" s="931"/>
      <c r="C21" s="933"/>
      <c r="D21" s="946"/>
    </row>
    <row r="22" spans="2:6" ht="15" customHeight="1">
      <c r="B22" s="931" t="s">
        <v>2883</v>
      </c>
      <c r="C22" s="933" t="s">
        <v>2944</v>
      </c>
      <c r="D22" s="946">
        <v>0</v>
      </c>
    </row>
    <row r="23" spans="2:6" ht="15" customHeight="1">
      <c r="B23" s="931" t="s">
        <v>2945</v>
      </c>
      <c r="C23" s="933" t="s">
        <v>2946</v>
      </c>
      <c r="D23" s="946">
        <v>0</v>
      </c>
    </row>
    <row r="24" spans="2:6" ht="15" customHeight="1">
      <c r="B24" s="931" t="s">
        <v>2884</v>
      </c>
      <c r="C24" s="933" t="s">
        <v>2885</v>
      </c>
      <c r="D24" s="946">
        <v>0</v>
      </c>
    </row>
    <row r="25" spans="2:6" ht="15" customHeight="1">
      <c r="B25" s="931" t="s">
        <v>2947</v>
      </c>
      <c r="C25" s="933" t="s">
        <v>2908</v>
      </c>
      <c r="D25" s="946">
        <v>0</v>
      </c>
    </row>
    <row r="26" spans="2:6" ht="15" customHeight="1">
      <c r="B26" s="931"/>
      <c r="C26" s="933"/>
      <c r="D26" s="946">
        <v>0</v>
      </c>
    </row>
    <row r="27" spans="2:6" ht="15" customHeight="1">
      <c r="B27" s="931">
        <v>2</v>
      </c>
      <c r="C27" s="932" t="s">
        <v>162</v>
      </c>
      <c r="D27" s="946"/>
    </row>
    <row r="28" spans="2:6" ht="15" customHeight="1">
      <c r="B28" s="931" t="s">
        <v>2879</v>
      </c>
      <c r="C28" s="933" t="s">
        <v>2948</v>
      </c>
      <c r="D28" s="946">
        <v>0</v>
      </c>
    </row>
    <row r="29" spans="2:6" ht="15" customHeight="1">
      <c r="B29" s="931" t="s">
        <v>2883</v>
      </c>
      <c r="C29" s="933" t="s">
        <v>2886</v>
      </c>
      <c r="D29" s="946">
        <v>0</v>
      </c>
    </row>
    <row r="30" spans="2:6" ht="15" customHeight="1">
      <c r="B30" s="931" t="s">
        <v>2945</v>
      </c>
      <c r="C30" s="933" t="s">
        <v>2887</v>
      </c>
      <c r="D30" s="946"/>
      <c r="F30" s="934"/>
    </row>
    <row r="31" spans="2:6" ht="15" customHeight="1">
      <c r="B31" s="931" t="s">
        <v>2884</v>
      </c>
      <c r="C31" s="933" t="s">
        <v>2949</v>
      </c>
      <c r="D31" s="946">
        <v>0</v>
      </c>
      <c r="F31" s="934"/>
    </row>
    <row r="32" spans="2:6" ht="15" customHeight="1">
      <c r="B32" s="931" t="s">
        <v>2947</v>
      </c>
      <c r="C32" s="933" t="s">
        <v>2888</v>
      </c>
      <c r="D32" s="946">
        <v>0</v>
      </c>
      <c r="F32" s="934"/>
    </row>
    <row r="33" spans="2:6" ht="15" customHeight="1" thickBot="1">
      <c r="B33" s="1028" t="s">
        <v>2881</v>
      </c>
      <c r="C33" s="1030" t="s">
        <v>2889</v>
      </c>
      <c r="D33" s="1039">
        <v>0</v>
      </c>
      <c r="F33" s="934"/>
    </row>
    <row r="34" spans="2:6" ht="15" customHeight="1" thickBot="1">
      <c r="B34" s="937"/>
      <c r="C34" s="938" t="s">
        <v>2890</v>
      </c>
      <c r="D34" s="1040">
        <f>SUM(D18:D33)</f>
        <v>0</v>
      </c>
      <c r="F34" s="934"/>
    </row>
    <row r="35" spans="2:6" ht="15" customHeight="1">
      <c r="B35" s="995"/>
      <c r="C35" s="996"/>
      <c r="D35" s="945"/>
      <c r="F35" s="934"/>
    </row>
    <row r="36" spans="2:6" ht="15" customHeight="1">
      <c r="B36" s="931" t="s">
        <v>2891</v>
      </c>
      <c r="C36" s="939" t="s">
        <v>2950</v>
      </c>
      <c r="D36" s="946"/>
      <c r="F36" s="934"/>
    </row>
    <row r="37" spans="2:6" ht="15" customHeight="1">
      <c r="B37" s="931">
        <v>1</v>
      </c>
      <c r="C37" s="936" t="s">
        <v>2892</v>
      </c>
      <c r="D37" s="946">
        <v>0</v>
      </c>
      <c r="F37" s="934"/>
    </row>
    <row r="38" spans="2:6" ht="15" customHeight="1">
      <c r="B38" s="931" t="s">
        <v>2879</v>
      </c>
      <c r="C38" s="935" t="s">
        <v>2951</v>
      </c>
      <c r="D38" s="946">
        <v>0</v>
      </c>
      <c r="F38" s="934"/>
    </row>
    <row r="39" spans="2:6" ht="15" customHeight="1">
      <c r="B39" s="931" t="s">
        <v>2883</v>
      </c>
      <c r="C39" s="935" t="s">
        <v>2956</v>
      </c>
      <c r="D39" s="1031">
        <v>0</v>
      </c>
      <c r="F39" s="934"/>
    </row>
    <row r="40" spans="2:6" ht="15" customHeight="1">
      <c r="B40" s="931"/>
      <c r="C40" s="936"/>
      <c r="D40" s="946"/>
      <c r="F40" s="934"/>
    </row>
    <row r="41" spans="2:6" ht="15" customHeight="1">
      <c r="B41" s="931">
        <v>2</v>
      </c>
      <c r="C41" s="936" t="s">
        <v>2952</v>
      </c>
      <c r="D41" s="946">
        <v>0</v>
      </c>
      <c r="F41" s="934"/>
    </row>
    <row r="42" spans="2:6" ht="15" customHeight="1">
      <c r="B42" s="931"/>
      <c r="C42" s="935"/>
      <c r="D42" s="946"/>
      <c r="F42" s="934"/>
    </row>
    <row r="43" spans="2:6" ht="15" customHeight="1">
      <c r="B43" s="931">
        <v>3</v>
      </c>
      <c r="C43" s="936" t="s">
        <v>2893</v>
      </c>
      <c r="D43" s="946"/>
      <c r="F43" s="934"/>
    </row>
    <row r="44" spans="2:6" ht="15" customHeight="1">
      <c r="B44" s="931" t="s">
        <v>2879</v>
      </c>
      <c r="C44" s="935" t="s">
        <v>2894</v>
      </c>
      <c r="D44" s="946">
        <v>0</v>
      </c>
      <c r="F44" s="934"/>
    </row>
    <row r="45" spans="2:6" ht="15" customHeight="1">
      <c r="B45" s="931" t="s">
        <v>2883</v>
      </c>
      <c r="C45" s="935" t="s">
        <v>2964</v>
      </c>
      <c r="D45" s="946">
        <v>0</v>
      </c>
      <c r="F45" s="934"/>
    </row>
    <row r="46" spans="2:6" ht="15" customHeight="1">
      <c r="B46" s="931" t="s">
        <v>2945</v>
      </c>
      <c r="C46" s="935" t="s">
        <v>2953</v>
      </c>
      <c r="D46" s="946">
        <v>0</v>
      </c>
      <c r="F46" s="934"/>
    </row>
    <row r="47" spans="2:6" ht="15" customHeight="1">
      <c r="B47" s="931" t="s">
        <v>2884</v>
      </c>
      <c r="C47" s="935" t="s">
        <v>2954</v>
      </c>
      <c r="D47" s="946">
        <v>0</v>
      </c>
      <c r="F47" s="934"/>
    </row>
    <row r="48" spans="2:6" ht="15" customHeight="1">
      <c r="B48" s="931" t="s">
        <v>2947</v>
      </c>
      <c r="C48" s="935" t="s">
        <v>2955</v>
      </c>
      <c r="D48" s="946">
        <v>0</v>
      </c>
      <c r="F48" s="934"/>
    </row>
    <row r="49" spans="2:6" ht="15" customHeight="1">
      <c r="B49" s="931"/>
      <c r="C49" s="935"/>
      <c r="D49" s="946">
        <v>0</v>
      </c>
      <c r="F49" s="934"/>
    </row>
    <row r="50" spans="2:6" ht="15" customHeight="1">
      <c r="B50" s="931">
        <v>4</v>
      </c>
      <c r="C50" s="936" t="s">
        <v>2895</v>
      </c>
      <c r="D50" s="946"/>
      <c r="F50" s="934"/>
    </row>
    <row r="51" spans="2:6" ht="15" customHeight="1">
      <c r="B51" s="931" t="s">
        <v>2879</v>
      </c>
      <c r="C51" s="935" t="s">
        <v>2896</v>
      </c>
      <c r="D51" s="946">
        <v>0</v>
      </c>
      <c r="F51" s="934"/>
    </row>
    <row r="52" spans="2:6" ht="15" customHeight="1">
      <c r="B52" s="931" t="s">
        <v>2883</v>
      </c>
      <c r="C52" s="935" t="s">
        <v>2897</v>
      </c>
      <c r="D52" s="946">
        <v>0</v>
      </c>
      <c r="F52" s="934"/>
    </row>
    <row r="53" spans="2:6" ht="15" customHeight="1">
      <c r="B53" s="931" t="s">
        <v>2945</v>
      </c>
      <c r="C53" s="935" t="s">
        <v>2898</v>
      </c>
      <c r="D53" s="946">
        <v>0</v>
      </c>
      <c r="F53" s="934"/>
    </row>
    <row r="54" spans="2:6" ht="15" customHeight="1" thickBot="1">
      <c r="B54" s="1028" t="s">
        <v>2884</v>
      </c>
      <c r="C54" s="1029" t="s">
        <v>2899</v>
      </c>
      <c r="D54" s="1039">
        <v>0</v>
      </c>
      <c r="F54" s="934"/>
    </row>
    <row r="55" spans="2:6" ht="15" customHeight="1" thickBot="1">
      <c r="B55" s="937"/>
      <c r="C55" s="938" t="s">
        <v>2900</v>
      </c>
      <c r="D55" s="1040">
        <f>SUM(D38:D54)</f>
        <v>0</v>
      </c>
      <c r="F55" s="934"/>
    </row>
    <row r="56" spans="2:6">
      <c r="C56" s="940"/>
      <c r="D56" s="993"/>
    </row>
    <row r="57" spans="2:6" ht="32.25" customHeight="1">
      <c r="B57" s="1441"/>
      <c r="C57" s="1441"/>
      <c r="D57" s="1441"/>
    </row>
    <row r="58" spans="2:6">
      <c r="C58" s="941"/>
      <c r="D58" s="992"/>
    </row>
    <row r="59" spans="2:6">
      <c r="C59" s="941"/>
      <c r="D59" s="992"/>
    </row>
    <row r="60" spans="2:6">
      <c r="C60" s="941"/>
      <c r="D60" s="992"/>
    </row>
    <row r="61" spans="2:6">
      <c r="C61" s="941"/>
      <c r="D61" s="992"/>
    </row>
    <row r="62" spans="2:6">
      <c r="C62" s="941"/>
      <c r="D62" s="992"/>
    </row>
    <row r="63" spans="2:6">
      <c r="C63" s="941"/>
      <c r="D63" s="992"/>
    </row>
    <row r="64" spans="2:6">
      <c r="C64" s="941"/>
      <c r="D64" s="992"/>
    </row>
    <row r="65" spans="3:4">
      <c r="C65" s="941"/>
      <c r="D65" s="992"/>
    </row>
    <row r="66" spans="3:4">
      <c r="C66" s="941"/>
      <c r="D66" s="992"/>
    </row>
    <row r="67" spans="3:4">
      <c r="C67" s="941"/>
      <c r="D67" s="992"/>
    </row>
    <row r="68" spans="3:4">
      <c r="C68" s="941"/>
      <c r="D68" s="992"/>
    </row>
    <row r="69" spans="3:4">
      <c r="C69" s="941"/>
      <c r="D69" s="992"/>
    </row>
    <row r="70" spans="3:4">
      <c r="C70" s="941"/>
      <c r="D70" s="992"/>
    </row>
    <row r="71" spans="3:4">
      <c r="C71" s="941"/>
      <c r="D71" s="992"/>
    </row>
    <row r="72" spans="3:4">
      <c r="C72" s="941"/>
      <c r="D72" s="992"/>
    </row>
    <row r="73" spans="3:4">
      <c r="C73" s="941"/>
      <c r="D73" s="992"/>
    </row>
    <row r="74" spans="3:4">
      <c r="D74" s="992"/>
    </row>
    <row r="75" spans="3:4">
      <c r="D75" s="992"/>
    </row>
    <row r="76" spans="3:4">
      <c r="D76" s="992"/>
    </row>
    <row r="77" spans="3:4">
      <c r="D77" s="992"/>
    </row>
    <row r="78" spans="3:4">
      <c r="D78" s="992"/>
    </row>
    <row r="79" spans="3:4">
      <c r="D79" s="992"/>
    </row>
    <row r="80" spans="3:4">
      <c r="D80" s="992"/>
    </row>
    <row r="81" spans="4:4">
      <c r="D81" s="992"/>
    </row>
    <row r="82" spans="4:4">
      <c r="D82" s="992"/>
    </row>
    <row r="83" spans="4:4">
      <c r="D83" s="992"/>
    </row>
    <row r="84" spans="4:4">
      <c r="D84" s="992"/>
    </row>
    <row r="85" spans="4:4">
      <c r="D85" s="992"/>
    </row>
    <row r="86" spans="4:4">
      <c r="D86" s="992"/>
    </row>
    <row r="87" spans="4:4">
      <c r="D87" s="992"/>
    </row>
    <row r="88" spans="4:4">
      <c r="D88" s="992"/>
    </row>
    <row r="89" spans="4:4">
      <c r="D89" s="992"/>
    </row>
    <row r="90" spans="4:4">
      <c r="D90" s="992"/>
    </row>
    <row r="91" spans="4:4">
      <c r="D91" s="992"/>
    </row>
    <row r="92" spans="4:4">
      <c r="D92" s="992"/>
    </row>
    <row r="93" spans="4:4">
      <c r="D93" s="992"/>
    </row>
    <row r="94" spans="4:4">
      <c r="D94" s="992"/>
    </row>
    <row r="95" spans="4:4">
      <c r="D95" s="992"/>
    </row>
    <row r="96" spans="4:4">
      <c r="D96" s="992"/>
    </row>
    <row r="97" spans="4:4">
      <c r="D97" s="992"/>
    </row>
    <row r="98" spans="4:4">
      <c r="D98" s="992"/>
    </row>
    <row r="99" spans="4:4">
      <c r="D99" s="992"/>
    </row>
    <row r="100" spans="4:4">
      <c r="D100" s="992"/>
    </row>
    <row r="101" spans="4:4">
      <c r="D101" s="992"/>
    </row>
    <row r="102" spans="4:4">
      <c r="D102" s="992"/>
    </row>
    <row r="103" spans="4:4">
      <c r="D103" s="992"/>
    </row>
    <row r="104" spans="4:4">
      <c r="D104" s="992"/>
    </row>
    <row r="105" spans="4:4">
      <c r="D105" s="992"/>
    </row>
    <row r="106" spans="4:4">
      <c r="D106" s="992"/>
    </row>
    <row r="107" spans="4:4">
      <c r="D107" s="992"/>
    </row>
    <row r="108" spans="4:4">
      <c r="D108" s="992"/>
    </row>
    <row r="109" spans="4:4">
      <c r="D109" s="992"/>
    </row>
    <row r="110" spans="4:4">
      <c r="D110" s="992"/>
    </row>
    <row r="111" spans="4:4">
      <c r="D111" s="992"/>
    </row>
    <row r="112" spans="4:4">
      <c r="D112" s="992"/>
    </row>
    <row r="113" spans="4:4">
      <c r="D113" s="992"/>
    </row>
    <row r="114" spans="4:4">
      <c r="D114" s="992"/>
    </row>
    <row r="115" spans="4:4">
      <c r="D115" s="992"/>
    </row>
    <row r="116" spans="4:4">
      <c r="D116" s="992"/>
    </row>
    <row r="117" spans="4:4">
      <c r="D117" s="992"/>
    </row>
    <row r="118" spans="4:4">
      <c r="D118" s="992"/>
    </row>
    <row r="119" spans="4:4">
      <c r="D119" s="992"/>
    </row>
    <row r="120" spans="4:4">
      <c r="D120" s="992"/>
    </row>
    <row r="121" spans="4:4">
      <c r="D121" s="992"/>
    </row>
    <row r="122" spans="4:4">
      <c r="D122" s="992"/>
    </row>
    <row r="123" spans="4:4">
      <c r="D123" s="992"/>
    </row>
    <row r="124" spans="4:4">
      <c r="D124" s="992"/>
    </row>
    <row r="125" spans="4:4">
      <c r="D125" s="992"/>
    </row>
    <row r="126" spans="4:4">
      <c r="D126" s="992"/>
    </row>
    <row r="127" spans="4:4">
      <c r="D127" s="992"/>
    </row>
    <row r="128" spans="4:4">
      <c r="D128" s="992"/>
    </row>
    <row r="129" spans="4:4">
      <c r="D129" s="992"/>
    </row>
    <row r="130" spans="4:4">
      <c r="D130" s="992"/>
    </row>
    <row r="131" spans="4:4">
      <c r="D131" s="992"/>
    </row>
    <row r="132" spans="4:4">
      <c r="D132" s="992"/>
    </row>
    <row r="133" spans="4:4">
      <c r="D133" s="992"/>
    </row>
    <row r="134" spans="4:4">
      <c r="D134" s="992"/>
    </row>
    <row r="135" spans="4:4">
      <c r="D135" s="992"/>
    </row>
    <row r="136" spans="4:4">
      <c r="D136" s="992"/>
    </row>
    <row r="137" spans="4:4">
      <c r="D137" s="992"/>
    </row>
    <row r="138" spans="4:4">
      <c r="D138" s="992"/>
    </row>
    <row r="139" spans="4:4">
      <c r="D139" s="992"/>
    </row>
    <row r="140" spans="4:4">
      <c r="D140" s="992"/>
    </row>
    <row r="141" spans="4:4">
      <c r="D141" s="992"/>
    </row>
    <row r="142" spans="4:4">
      <c r="D142" s="992"/>
    </row>
    <row r="143" spans="4:4">
      <c r="D143" s="992"/>
    </row>
    <row r="144" spans="4:4">
      <c r="D144" s="992"/>
    </row>
    <row r="145" spans="4:4">
      <c r="D145" s="992"/>
    </row>
    <row r="146" spans="4:4">
      <c r="D146" s="992"/>
    </row>
    <row r="147" spans="4:4">
      <c r="D147" s="992"/>
    </row>
    <row r="148" spans="4:4">
      <c r="D148" s="992"/>
    </row>
    <row r="149" spans="4:4">
      <c r="D149" s="992"/>
    </row>
    <row r="150" spans="4:4">
      <c r="D150" s="992"/>
    </row>
    <row r="151" spans="4:4">
      <c r="D151" s="992"/>
    </row>
    <row r="152" spans="4:4">
      <c r="D152" s="992"/>
    </row>
    <row r="153" spans="4:4">
      <c r="D153" s="992"/>
    </row>
    <row r="154" spans="4:4">
      <c r="D154" s="992"/>
    </row>
    <row r="155" spans="4:4">
      <c r="D155" s="992"/>
    </row>
    <row r="156" spans="4:4">
      <c r="D156" s="992"/>
    </row>
    <row r="157" spans="4:4">
      <c r="D157" s="992"/>
    </row>
    <row r="158" spans="4:4">
      <c r="D158" s="992"/>
    </row>
    <row r="159" spans="4:4">
      <c r="D159" s="992"/>
    </row>
    <row r="160" spans="4:4">
      <c r="D160" s="992"/>
    </row>
    <row r="161" spans="4:4">
      <c r="D161" s="992"/>
    </row>
    <row r="162" spans="4:4">
      <c r="D162" s="992"/>
    </row>
    <row r="163" spans="4:4">
      <c r="D163" s="992"/>
    </row>
    <row r="164" spans="4:4">
      <c r="D164" s="992"/>
    </row>
    <row r="165" spans="4:4">
      <c r="D165" s="992"/>
    </row>
    <row r="166" spans="4:4">
      <c r="D166" s="992"/>
    </row>
    <row r="167" spans="4:4">
      <c r="D167" s="992"/>
    </row>
    <row r="168" spans="4:4">
      <c r="D168" s="992"/>
    </row>
    <row r="169" spans="4:4">
      <c r="D169" s="992"/>
    </row>
    <row r="170" spans="4:4">
      <c r="D170" s="992"/>
    </row>
    <row r="171" spans="4:4">
      <c r="D171" s="992"/>
    </row>
    <row r="172" spans="4:4">
      <c r="D172" s="992"/>
    </row>
    <row r="173" spans="4:4">
      <c r="D173" s="992"/>
    </row>
    <row r="174" spans="4:4">
      <c r="D174" s="992"/>
    </row>
    <row r="175" spans="4:4">
      <c r="D175" s="992"/>
    </row>
    <row r="176" spans="4:4">
      <c r="D176" s="992"/>
    </row>
    <row r="177" spans="4:4">
      <c r="D177" s="992"/>
    </row>
    <row r="178" spans="4:4">
      <c r="D178" s="992"/>
    </row>
    <row r="179" spans="4:4">
      <c r="D179" s="992"/>
    </row>
    <row r="180" spans="4:4">
      <c r="D180" s="992"/>
    </row>
    <row r="181" spans="4:4">
      <c r="D181" s="992"/>
    </row>
    <row r="182" spans="4:4">
      <c r="D182" s="992"/>
    </row>
    <row r="183" spans="4:4">
      <c r="D183" s="992"/>
    </row>
    <row r="184" spans="4:4">
      <c r="D184" s="992"/>
    </row>
    <row r="185" spans="4:4">
      <c r="D185" s="992"/>
    </row>
    <row r="186" spans="4:4">
      <c r="D186" s="992"/>
    </row>
    <row r="187" spans="4:4">
      <c r="D187" s="992"/>
    </row>
    <row r="188" spans="4:4">
      <c r="D188" s="992"/>
    </row>
    <row r="189" spans="4:4">
      <c r="D189" s="992"/>
    </row>
    <row r="190" spans="4:4">
      <c r="D190" s="992"/>
    </row>
    <row r="191" spans="4:4">
      <c r="D191" s="992"/>
    </row>
    <row r="192" spans="4:4">
      <c r="D192" s="992"/>
    </row>
    <row r="193" spans="4:4">
      <c r="D193" s="992"/>
    </row>
    <row r="194" spans="4:4">
      <c r="D194" s="992"/>
    </row>
    <row r="195" spans="4:4">
      <c r="D195" s="992"/>
    </row>
    <row r="196" spans="4:4">
      <c r="D196" s="992"/>
    </row>
    <row r="197" spans="4:4">
      <c r="D197" s="992"/>
    </row>
    <row r="198" spans="4:4">
      <c r="D198" s="992"/>
    </row>
    <row r="199" spans="4:4">
      <c r="D199" s="992"/>
    </row>
    <row r="200" spans="4:4">
      <c r="D200" s="992"/>
    </row>
    <row r="201" spans="4:4">
      <c r="D201" s="992"/>
    </row>
    <row r="202" spans="4:4">
      <c r="D202" s="992"/>
    </row>
    <row r="203" spans="4:4">
      <c r="D203" s="992"/>
    </row>
    <row r="204" spans="4:4">
      <c r="D204" s="992"/>
    </row>
    <row r="205" spans="4:4">
      <c r="D205" s="992"/>
    </row>
    <row r="206" spans="4:4">
      <c r="D206" s="992"/>
    </row>
    <row r="207" spans="4:4">
      <c r="D207" s="992"/>
    </row>
    <row r="208" spans="4:4">
      <c r="D208" s="992"/>
    </row>
    <row r="209" spans="4:4">
      <c r="D209" s="992"/>
    </row>
    <row r="210" spans="4:4">
      <c r="D210" s="992"/>
    </row>
    <row r="211" spans="4:4">
      <c r="D211" s="992"/>
    </row>
    <row r="212" spans="4:4">
      <c r="D212" s="992"/>
    </row>
    <row r="213" spans="4:4">
      <c r="D213" s="992"/>
    </row>
    <row r="214" spans="4:4">
      <c r="D214" s="992"/>
    </row>
    <row r="215" spans="4:4">
      <c r="D215" s="992"/>
    </row>
    <row r="216" spans="4:4">
      <c r="D216" s="992"/>
    </row>
    <row r="217" spans="4:4">
      <c r="D217" s="992"/>
    </row>
    <row r="218" spans="4:4">
      <c r="D218" s="992"/>
    </row>
    <row r="219" spans="4:4">
      <c r="D219" s="992"/>
    </row>
    <row r="220" spans="4:4">
      <c r="D220" s="992"/>
    </row>
    <row r="221" spans="4:4">
      <c r="D221" s="992"/>
    </row>
    <row r="222" spans="4:4">
      <c r="D222" s="992"/>
    </row>
    <row r="223" spans="4:4">
      <c r="D223" s="992"/>
    </row>
    <row r="224" spans="4:4">
      <c r="D224" s="992"/>
    </row>
    <row r="225" spans="4:4">
      <c r="D225" s="992"/>
    </row>
    <row r="226" spans="4:4">
      <c r="D226" s="992"/>
    </row>
    <row r="227" spans="4:4">
      <c r="D227" s="992"/>
    </row>
    <row r="228" spans="4:4">
      <c r="D228" s="992"/>
    </row>
    <row r="229" spans="4:4">
      <c r="D229" s="992"/>
    </row>
  </sheetData>
  <mergeCells count="12">
    <mergeCell ref="B57:D57"/>
    <mergeCell ref="B2:D2"/>
    <mergeCell ref="B3:D3"/>
    <mergeCell ref="B13:D13"/>
    <mergeCell ref="B4:C4"/>
    <mergeCell ref="B5:C5"/>
    <mergeCell ref="B6:C6"/>
    <mergeCell ref="B7:C7"/>
    <mergeCell ref="B8:C8"/>
    <mergeCell ref="B9:C9"/>
    <mergeCell ref="B11:C11"/>
    <mergeCell ref="B12:D12"/>
  </mergeCells>
  <pageMargins left="0.57999999999999996" right="0.21" top="0.54" bottom="0.63" header="0.54" footer="0.6"/>
  <pageSetup paperSize="5" scale="94" orientation="portrait" horizontalDpi="150" verticalDpi="150" r:id="rId1"/>
</worksheet>
</file>

<file path=xl/worksheets/sheet13.xml><?xml version="1.0" encoding="utf-8"?>
<worksheet xmlns="http://schemas.openxmlformats.org/spreadsheetml/2006/main" xmlns:r="http://schemas.openxmlformats.org/officeDocument/2006/relationships">
  <sheetPr>
    <tabColor rgb="FF92D050"/>
  </sheetPr>
  <dimension ref="A1:J1058"/>
  <sheetViews>
    <sheetView view="pageBreakPreview" topLeftCell="B1" zoomScaleSheetLayoutView="100" workbookViewId="0">
      <selection activeCell="I18" sqref="I18"/>
    </sheetView>
  </sheetViews>
  <sheetFormatPr defaultRowHeight="14.25"/>
  <cols>
    <col min="1" max="1" width="7.5703125" style="962" hidden="1" customWidth="1"/>
    <col min="2" max="2" width="4.5703125" style="962" customWidth="1"/>
    <col min="3" max="3" width="32.5703125" style="959" customWidth="1"/>
    <col min="4" max="4" width="13.7109375" style="980" customWidth="1"/>
    <col min="5" max="7" width="16.140625" style="980" bestFit="1" customWidth="1"/>
    <col min="8" max="8" width="11.42578125" style="962" bestFit="1" customWidth="1"/>
    <col min="9" max="9" width="11.28515625" style="962" bestFit="1" customWidth="1"/>
    <col min="10" max="10" width="14" style="962" customWidth="1"/>
    <col min="11" max="252" width="9.140625" style="962"/>
    <col min="253" max="253" width="7.5703125" style="962" bestFit="1" customWidth="1"/>
    <col min="254" max="254" width="45.85546875" style="962" bestFit="1" customWidth="1"/>
    <col min="255" max="255" width="11.140625" style="962" customWidth="1"/>
    <col min="256" max="256" width="11.7109375" style="962" customWidth="1"/>
    <col min="257" max="257" width="13.140625" style="962" customWidth="1"/>
    <col min="258" max="258" width="11" style="962" bestFit="1" customWidth="1"/>
    <col min="259" max="259" width="12.28515625" style="962" bestFit="1" customWidth="1"/>
    <col min="260" max="260" width="9.140625" style="962"/>
    <col min="261" max="261" width="9.7109375" style="962" bestFit="1" customWidth="1"/>
    <col min="262" max="508" width="9.140625" style="962"/>
    <col min="509" max="509" width="7.5703125" style="962" bestFit="1" customWidth="1"/>
    <col min="510" max="510" width="45.85546875" style="962" bestFit="1" customWidth="1"/>
    <col min="511" max="511" width="11.140625" style="962" customWidth="1"/>
    <col min="512" max="512" width="11.7109375" style="962" customWidth="1"/>
    <col min="513" max="513" width="13.140625" style="962" customWidth="1"/>
    <col min="514" max="514" width="11" style="962" bestFit="1" customWidth="1"/>
    <col min="515" max="515" width="12.28515625" style="962" bestFit="1" customWidth="1"/>
    <col min="516" max="516" width="9.140625" style="962"/>
    <col min="517" max="517" width="9.7109375" style="962" bestFit="1" customWidth="1"/>
    <col min="518" max="764" width="9.140625" style="962"/>
    <col min="765" max="765" width="7.5703125" style="962" bestFit="1" customWidth="1"/>
    <col min="766" max="766" width="45.85546875" style="962" bestFit="1" customWidth="1"/>
    <col min="767" max="767" width="11.140625" style="962" customWidth="1"/>
    <col min="768" max="768" width="11.7109375" style="962" customWidth="1"/>
    <col min="769" max="769" width="13.140625" style="962" customWidth="1"/>
    <col min="770" max="770" width="11" style="962" bestFit="1" customWidth="1"/>
    <col min="771" max="771" width="12.28515625" style="962" bestFit="1" customWidth="1"/>
    <col min="772" max="772" width="9.140625" style="962"/>
    <col min="773" max="773" width="9.7109375" style="962" bestFit="1" customWidth="1"/>
    <col min="774" max="1020" width="9.140625" style="962"/>
    <col min="1021" max="1021" width="7.5703125" style="962" bestFit="1" customWidth="1"/>
    <col min="1022" max="1022" width="45.85546875" style="962" bestFit="1" customWidth="1"/>
    <col min="1023" max="1023" width="11.140625" style="962" customWidth="1"/>
    <col min="1024" max="1024" width="11.7109375" style="962" customWidth="1"/>
    <col min="1025" max="1025" width="13.140625" style="962" customWidth="1"/>
    <col min="1026" max="1026" width="11" style="962" bestFit="1" customWidth="1"/>
    <col min="1027" max="1027" width="12.28515625" style="962" bestFit="1" customWidth="1"/>
    <col min="1028" max="1028" width="9.140625" style="962"/>
    <col min="1029" max="1029" width="9.7109375" style="962" bestFit="1" customWidth="1"/>
    <col min="1030" max="1276" width="9.140625" style="962"/>
    <col min="1277" max="1277" width="7.5703125" style="962" bestFit="1" customWidth="1"/>
    <col min="1278" max="1278" width="45.85546875" style="962" bestFit="1" customWidth="1"/>
    <col min="1279" max="1279" width="11.140625" style="962" customWidth="1"/>
    <col min="1280" max="1280" width="11.7109375" style="962" customWidth="1"/>
    <col min="1281" max="1281" width="13.140625" style="962" customWidth="1"/>
    <col min="1282" max="1282" width="11" style="962" bestFit="1" customWidth="1"/>
    <col min="1283" max="1283" width="12.28515625" style="962" bestFit="1" customWidth="1"/>
    <col min="1284" max="1284" width="9.140625" style="962"/>
    <col min="1285" max="1285" width="9.7109375" style="962" bestFit="1" customWidth="1"/>
    <col min="1286" max="1532" width="9.140625" style="962"/>
    <col min="1533" max="1533" width="7.5703125" style="962" bestFit="1" customWidth="1"/>
    <col min="1534" max="1534" width="45.85546875" style="962" bestFit="1" customWidth="1"/>
    <col min="1535" max="1535" width="11.140625" style="962" customWidth="1"/>
    <col min="1536" max="1536" width="11.7109375" style="962" customWidth="1"/>
    <col min="1537" max="1537" width="13.140625" style="962" customWidth="1"/>
    <col min="1538" max="1538" width="11" style="962" bestFit="1" customWidth="1"/>
    <col min="1539" max="1539" width="12.28515625" style="962" bestFit="1" customWidth="1"/>
    <col min="1540" max="1540" width="9.140625" style="962"/>
    <col min="1541" max="1541" width="9.7109375" style="962" bestFit="1" customWidth="1"/>
    <col min="1542" max="1788" width="9.140625" style="962"/>
    <col min="1789" max="1789" width="7.5703125" style="962" bestFit="1" customWidth="1"/>
    <col min="1790" max="1790" width="45.85546875" style="962" bestFit="1" customWidth="1"/>
    <col min="1791" max="1791" width="11.140625" style="962" customWidth="1"/>
    <col min="1792" max="1792" width="11.7109375" style="962" customWidth="1"/>
    <col min="1793" max="1793" width="13.140625" style="962" customWidth="1"/>
    <col min="1794" max="1794" width="11" style="962" bestFit="1" customWidth="1"/>
    <col min="1795" max="1795" width="12.28515625" style="962" bestFit="1" customWidth="1"/>
    <col min="1796" max="1796" width="9.140625" style="962"/>
    <col min="1797" max="1797" width="9.7109375" style="962" bestFit="1" customWidth="1"/>
    <col min="1798" max="2044" width="9.140625" style="962"/>
    <col min="2045" max="2045" width="7.5703125" style="962" bestFit="1" customWidth="1"/>
    <col min="2046" max="2046" width="45.85546875" style="962" bestFit="1" customWidth="1"/>
    <col min="2047" max="2047" width="11.140625" style="962" customWidth="1"/>
    <col min="2048" max="2048" width="11.7109375" style="962" customWidth="1"/>
    <col min="2049" max="2049" width="13.140625" style="962" customWidth="1"/>
    <col min="2050" max="2050" width="11" style="962" bestFit="1" customWidth="1"/>
    <col min="2051" max="2051" width="12.28515625" style="962" bestFit="1" customWidth="1"/>
    <col min="2052" max="2052" width="9.140625" style="962"/>
    <col min="2053" max="2053" width="9.7109375" style="962" bestFit="1" customWidth="1"/>
    <col min="2054" max="2300" width="9.140625" style="962"/>
    <col min="2301" max="2301" width="7.5703125" style="962" bestFit="1" customWidth="1"/>
    <col min="2302" max="2302" width="45.85546875" style="962" bestFit="1" customWidth="1"/>
    <col min="2303" max="2303" width="11.140625" style="962" customWidth="1"/>
    <col min="2304" max="2304" width="11.7109375" style="962" customWidth="1"/>
    <col min="2305" max="2305" width="13.140625" style="962" customWidth="1"/>
    <col min="2306" max="2306" width="11" style="962" bestFit="1" customWidth="1"/>
    <col min="2307" max="2307" width="12.28515625" style="962" bestFit="1" customWidth="1"/>
    <col min="2308" max="2308" width="9.140625" style="962"/>
    <col min="2309" max="2309" width="9.7109375" style="962" bestFit="1" customWidth="1"/>
    <col min="2310" max="2556" width="9.140625" style="962"/>
    <col min="2557" max="2557" width="7.5703125" style="962" bestFit="1" customWidth="1"/>
    <col min="2558" max="2558" width="45.85546875" style="962" bestFit="1" customWidth="1"/>
    <col min="2559" max="2559" width="11.140625" style="962" customWidth="1"/>
    <col min="2560" max="2560" width="11.7109375" style="962" customWidth="1"/>
    <col min="2561" max="2561" width="13.140625" style="962" customWidth="1"/>
    <col min="2562" max="2562" width="11" style="962" bestFit="1" customWidth="1"/>
    <col min="2563" max="2563" width="12.28515625" style="962" bestFit="1" customWidth="1"/>
    <col min="2564" max="2564" width="9.140625" style="962"/>
    <col min="2565" max="2565" width="9.7109375" style="962" bestFit="1" customWidth="1"/>
    <col min="2566" max="2812" width="9.140625" style="962"/>
    <col min="2813" max="2813" width="7.5703125" style="962" bestFit="1" customWidth="1"/>
    <col min="2814" max="2814" width="45.85546875" style="962" bestFit="1" customWidth="1"/>
    <col min="2815" max="2815" width="11.140625" style="962" customWidth="1"/>
    <col min="2816" max="2816" width="11.7109375" style="962" customWidth="1"/>
    <col min="2817" max="2817" width="13.140625" style="962" customWidth="1"/>
    <col min="2818" max="2818" width="11" style="962" bestFit="1" customWidth="1"/>
    <col min="2819" max="2819" width="12.28515625" style="962" bestFit="1" customWidth="1"/>
    <col min="2820" max="2820" width="9.140625" style="962"/>
    <col min="2821" max="2821" width="9.7109375" style="962" bestFit="1" customWidth="1"/>
    <col min="2822" max="3068" width="9.140625" style="962"/>
    <col min="3069" max="3069" width="7.5703125" style="962" bestFit="1" customWidth="1"/>
    <col min="3070" max="3070" width="45.85546875" style="962" bestFit="1" customWidth="1"/>
    <col min="3071" max="3071" width="11.140625" style="962" customWidth="1"/>
    <col min="3072" max="3072" width="11.7109375" style="962" customWidth="1"/>
    <col min="3073" max="3073" width="13.140625" style="962" customWidth="1"/>
    <col min="3074" max="3074" width="11" style="962" bestFit="1" customWidth="1"/>
    <col min="3075" max="3075" width="12.28515625" style="962" bestFit="1" customWidth="1"/>
    <col min="3076" max="3076" width="9.140625" style="962"/>
    <col min="3077" max="3077" width="9.7109375" style="962" bestFit="1" customWidth="1"/>
    <col min="3078" max="3324" width="9.140625" style="962"/>
    <col min="3325" max="3325" width="7.5703125" style="962" bestFit="1" customWidth="1"/>
    <col min="3326" max="3326" width="45.85546875" style="962" bestFit="1" customWidth="1"/>
    <col min="3327" max="3327" width="11.140625" style="962" customWidth="1"/>
    <col min="3328" max="3328" width="11.7109375" style="962" customWidth="1"/>
    <col min="3329" max="3329" width="13.140625" style="962" customWidth="1"/>
    <col min="3330" max="3330" width="11" style="962" bestFit="1" customWidth="1"/>
    <col min="3331" max="3331" width="12.28515625" style="962" bestFit="1" customWidth="1"/>
    <col min="3332" max="3332" width="9.140625" style="962"/>
    <col min="3333" max="3333" width="9.7109375" style="962" bestFit="1" customWidth="1"/>
    <col min="3334" max="3580" width="9.140625" style="962"/>
    <col min="3581" max="3581" width="7.5703125" style="962" bestFit="1" customWidth="1"/>
    <col min="3582" max="3582" width="45.85546875" style="962" bestFit="1" customWidth="1"/>
    <col min="3583" max="3583" width="11.140625" style="962" customWidth="1"/>
    <col min="3584" max="3584" width="11.7109375" style="962" customWidth="1"/>
    <col min="3585" max="3585" width="13.140625" style="962" customWidth="1"/>
    <col min="3586" max="3586" width="11" style="962" bestFit="1" customWidth="1"/>
    <col min="3587" max="3587" width="12.28515625" style="962" bestFit="1" customWidth="1"/>
    <col min="3588" max="3588" width="9.140625" style="962"/>
    <col min="3589" max="3589" width="9.7109375" style="962" bestFit="1" customWidth="1"/>
    <col min="3590" max="3836" width="9.140625" style="962"/>
    <col min="3837" max="3837" width="7.5703125" style="962" bestFit="1" customWidth="1"/>
    <col min="3838" max="3838" width="45.85546875" style="962" bestFit="1" customWidth="1"/>
    <col min="3839" max="3839" width="11.140625" style="962" customWidth="1"/>
    <col min="3840" max="3840" width="11.7109375" style="962" customWidth="1"/>
    <col min="3841" max="3841" width="13.140625" style="962" customWidth="1"/>
    <col min="3842" max="3842" width="11" style="962" bestFit="1" customWidth="1"/>
    <col min="3843" max="3843" width="12.28515625" style="962" bestFit="1" customWidth="1"/>
    <col min="3844" max="3844" width="9.140625" style="962"/>
    <col min="3845" max="3845" width="9.7109375" style="962" bestFit="1" customWidth="1"/>
    <col min="3846" max="4092" width="9.140625" style="962"/>
    <col min="4093" max="4093" width="7.5703125" style="962" bestFit="1" customWidth="1"/>
    <col min="4094" max="4094" width="45.85546875" style="962" bestFit="1" customWidth="1"/>
    <col min="4095" max="4095" width="11.140625" style="962" customWidth="1"/>
    <col min="4096" max="4096" width="11.7109375" style="962" customWidth="1"/>
    <col min="4097" max="4097" width="13.140625" style="962" customWidth="1"/>
    <col min="4098" max="4098" width="11" style="962" bestFit="1" customWidth="1"/>
    <col min="4099" max="4099" width="12.28515625" style="962" bestFit="1" customWidth="1"/>
    <col min="4100" max="4100" width="9.140625" style="962"/>
    <col min="4101" max="4101" width="9.7109375" style="962" bestFit="1" customWidth="1"/>
    <col min="4102" max="4348" width="9.140625" style="962"/>
    <col min="4349" max="4349" width="7.5703125" style="962" bestFit="1" customWidth="1"/>
    <col min="4350" max="4350" width="45.85546875" style="962" bestFit="1" customWidth="1"/>
    <col min="4351" max="4351" width="11.140625" style="962" customWidth="1"/>
    <col min="4352" max="4352" width="11.7109375" style="962" customWidth="1"/>
    <col min="4353" max="4353" width="13.140625" style="962" customWidth="1"/>
    <col min="4354" max="4354" width="11" style="962" bestFit="1" customWidth="1"/>
    <col min="4355" max="4355" width="12.28515625" style="962" bestFit="1" customWidth="1"/>
    <col min="4356" max="4356" width="9.140625" style="962"/>
    <col min="4357" max="4357" width="9.7109375" style="962" bestFit="1" customWidth="1"/>
    <col min="4358" max="4604" width="9.140625" style="962"/>
    <col min="4605" max="4605" width="7.5703125" style="962" bestFit="1" customWidth="1"/>
    <col min="4606" max="4606" width="45.85546875" style="962" bestFit="1" customWidth="1"/>
    <col min="4607" max="4607" width="11.140625" style="962" customWidth="1"/>
    <col min="4608" max="4608" width="11.7109375" style="962" customWidth="1"/>
    <col min="4609" max="4609" width="13.140625" style="962" customWidth="1"/>
    <col min="4610" max="4610" width="11" style="962" bestFit="1" customWidth="1"/>
    <col min="4611" max="4611" width="12.28515625" style="962" bestFit="1" customWidth="1"/>
    <col min="4612" max="4612" width="9.140625" style="962"/>
    <col min="4613" max="4613" width="9.7109375" style="962" bestFit="1" customWidth="1"/>
    <col min="4614" max="4860" width="9.140625" style="962"/>
    <col min="4861" max="4861" width="7.5703125" style="962" bestFit="1" customWidth="1"/>
    <col min="4862" max="4862" width="45.85546875" style="962" bestFit="1" customWidth="1"/>
    <col min="4863" max="4863" width="11.140625" style="962" customWidth="1"/>
    <col min="4864" max="4864" width="11.7109375" style="962" customWidth="1"/>
    <col min="4865" max="4865" width="13.140625" style="962" customWidth="1"/>
    <col min="4866" max="4866" width="11" style="962" bestFit="1" customWidth="1"/>
    <col min="4867" max="4867" width="12.28515625" style="962" bestFit="1" customWidth="1"/>
    <col min="4868" max="4868" width="9.140625" style="962"/>
    <col min="4869" max="4869" width="9.7109375" style="962" bestFit="1" customWidth="1"/>
    <col min="4870" max="5116" width="9.140625" style="962"/>
    <col min="5117" max="5117" width="7.5703125" style="962" bestFit="1" customWidth="1"/>
    <col min="5118" max="5118" width="45.85546875" style="962" bestFit="1" customWidth="1"/>
    <col min="5119" max="5119" width="11.140625" style="962" customWidth="1"/>
    <col min="5120" max="5120" width="11.7109375" style="962" customWidth="1"/>
    <col min="5121" max="5121" width="13.140625" style="962" customWidth="1"/>
    <col min="5122" max="5122" width="11" style="962" bestFit="1" customWidth="1"/>
    <col min="5123" max="5123" width="12.28515625" style="962" bestFit="1" customWidth="1"/>
    <col min="5124" max="5124" width="9.140625" style="962"/>
    <col min="5125" max="5125" width="9.7109375" style="962" bestFit="1" customWidth="1"/>
    <col min="5126" max="5372" width="9.140625" style="962"/>
    <col min="5373" max="5373" width="7.5703125" style="962" bestFit="1" customWidth="1"/>
    <col min="5374" max="5374" width="45.85546875" style="962" bestFit="1" customWidth="1"/>
    <col min="5375" max="5375" width="11.140625" style="962" customWidth="1"/>
    <col min="5376" max="5376" width="11.7109375" style="962" customWidth="1"/>
    <col min="5377" max="5377" width="13.140625" style="962" customWidth="1"/>
    <col min="5378" max="5378" width="11" style="962" bestFit="1" customWidth="1"/>
    <col min="5379" max="5379" width="12.28515625" style="962" bestFit="1" customWidth="1"/>
    <col min="5380" max="5380" width="9.140625" style="962"/>
    <col min="5381" max="5381" width="9.7109375" style="962" bestFit="1" customWidth="1"/>
    <col min="5382" max="5628" width="9.140625" style="962"/>
    <col min="5629" max="5629" width="7.5703125" style="962" bestFit="1" customWidth="1"/>
    <col min="5630" max="5630" width="45.85546875" style="962" bestFit="1" customWidth="1"/>
    <col min="5631" max="5631" width="11.140625" style="962" customWidth="1"/>
    <col min="5632" max="5632" width="11.7109375" style="962" customWidth="1"/>
    <col min="5633" max="5633" width="13.140625" style="962" customWidth="1"/>
    <col min="5634" max="5634" width="11" style="962" bestFit="1" customWidth="1"/>
    <col min="5635" max="5635" width="12.28515625" style="962" bestFit="1" customWidth="1"/>
    <col min="5636" max="5636" width="9.140625" style="962"/>
    <col min="5637" max="5637" width="9.7109375" style="962" bestFit="1" customWidth="1"/>
    <col min="5638" max="5884" width="9.140625" style="962"/>
    <col min="5885" max="5885" width="7.5703125" style="962" bestFit="1" customWidth="1"/>
    <col min="5886" max="5886" width="45.85546875" style="962" bestFit="1" customWidth="1"/>
    <col min="5887" max="5887" width="11.140625" style="962" customWidth="1"/>
    <col min="5888" max="5888" width="11.7109375" style="962" customWidth="1"/>
    <col min="5889" max="5889" width="13.140625" style="962" customWidth="1"/>
    <col min="5890" max="5890" width="11" style="962" bestFit="1" customWidth="1"/>
    <col min="5891" max="5891" width="12.28515625" style="962" bestFit="1" customWidth="1"/>
    <col min="5892" max="5892" width="9.140625" style="962"/>
    <col min="5893" max="5893" width="9.7109375" style="962" bestFit="1" customWidth="1"/>
    <col min="5894" max="6140" width="9.140625" style="962"/>
    <col min="6141" max="6141" width="7.5703125" style="962" bestFit="1" customWidth="1"/>
    <col min="6142" max="6142" width="45.85546875" style="962" bestFit="1" customWidth="1"/>
    <col min="6143" max="6143" width="11.140625" style="962" customWidth="1"/>
    <col min="6144" max="6144" width="11.7109375" style="962" customWidth="1"/>
    <col min="6145" max="6145" width="13.140625" style="962" customWidth="1"/>
    <col min="6146" max="6146" width="11" style="962" bestFit="1" customWidth="1"/>
    <col min="6147" max="6147" width="12.28515625" style="962" bestFit="1" customWidth="1"/>
    <col min="6148" max="6148" width="9.140625" style="962"/>
    <col min="6149" max="6149" width="9.7109375" style="962" bestFit="1" customWidth="1"/>
    <col min="6150" max="6396" width="9.140625" style="962"/>
    <col min="6397" max="6397" width="7.5703125" style="962" bestFit="1" customWidth="1"/>
    <col min="6398" max="6398" width="45.85546875" style="962" bestFit="1" customWidth="1"/>
    <col min="6399" max="6399" width="11.140625" style="962" customWidth="1"/>
    <col min="6400" max="6400" width="11.7109375" style="962" customWidth="1"/>
    <col min="6401" max="6401" width="13.140625" style="962" customWidth="1"/>
    <col min="6402" max="6402" width="11" style="962" bestFit="1" customWidth="1"/>
    <col min="6403" max="6403" width="12.28515625" style="962" bestFit="1" customWidth="1"/>
    <col min="6404" max="6404" width="9.140625" style="962"/>
    <col min="6405" max="6405" width="9.7109375" style="962" bestFit="1" customWidth="1"/>
    <col min="6406" max="6652" width="9.140625" style="962"/>
    <col min="6653" max="6653" width="7.5703125" style="962" bestFit="1" customWidth="1"/>
    <col min="6654" max="6654" width="45.85546875" style="962" bestFit="1" customWidth="1"/>
    <col min="6655" max="6655" width="11.140625" style="962" customWidth="1"/>
    <col min="6656" max="6656" width="11.7109375" style="962" customWidth="1"/>
    <col min="6657" max="6657" width="13.140625" style="962" customWidth="1"/>
    <col min="6658" max="6658" width="11" style="962" bestFit="1" customWidth="1"/>
    <col min="6659" max="6659" width="12.28515625" style="962" bestFit="1" customWidth="1"/>
    <col min="6660" max="6660" width="9.140625" style="962"/>
    <col min="6661" max="6661" width="9.7109375" style="962" bestFit="1" customWidth="1"/>
    <col min="6662" max="6908" width="9.140625" style="962"/>
    <col min="6909" max="6909" width="7.5703125" style="962" bestFit="1" customWidth="1"/>
    <col min="6910" max="6910" width="45.85546875" style="962" bestFit="1" customWidth="1"/>
    <col min="6911" max="6911" width="11.140625" style="962" customWidth="1"/>
    <col min="6912" max="6912" width="11.7109375" style="962" customWidth="1"/>
    <col min="6913" max="6913" width="13.140625" style="962" customWidth="1"/>
    <col min="6914" max="6914" width="11" style="962" bestFit="1" customWidth="1"/>
    <col min="6915" max="6915" width="12.28515625" style="962" bestFit="1" customWidth="1"/>
    <col min="6916" max="6916" width="9.140625" style="962"/>
    <col min="6917" max="6917" width="9.7109375" style="962" bestFit="1" customWidth="1"/>
    <col min="6918" max="7164" width="9.140625" style="962"/>
    <col min="7165" max="7165" width="7.5703125" style="962" bestFit="1" customWidth="1"/>
    <col min="7166" max="7166" width="45.85546875" style="962" bestFit="1" customWidth="1"/>
    <col min="7167" max="7167" width="11.140625" style="962" customWidth="1"/>
    <col min="7168" max="7168" width="11.7109375" style="962" customWidth="1"/>
    <col min="7169" max="7169" width="13.140625" style="962" customWidth="1"/>
    <col min="7170" max="7170" width="11" style="962" bestFit="1" customWidth="1"/>
    <col min="7171" max="7171" width="12.28515625" style="962" bestFit="1" customWidth="1"/>
    <col min="7172" max="7172" width="9.140625" style="962"/>
    <col min="7173" max="7173" width="9.7109375" style="962" bestFit="1" customWidth="1"/>
    <col min="7174" max="7420" width="9.140625" style="962"/>
    <col min="7421" max="7421" width="7.5703125" style="962" bestFit="1" customWidth="1"/>
    <col min="7422" max="7422" width="45.85546875" style="962" bestFit="1" customWidth="1"/>
    <col min="7423" max="7423" width="11.140625" style="962" customWidth="1"/>
    <col min="7424" max="7424" width="11.7109375" style="962" customWidth="1"/>
    <col min="7425" max="7425" width="13.140625" style="962" customWidth="1"/>
    <col min="7426" max="7426" width="11" style="962" bestFit="1" customWidth="1"/>
    <col min="7427" max="7427" width="12.28515625" style="962" bestFit="1" customWidth="1"/>
    <col min="7428" max="7428" width="9.140625" style="962"/>
    <col min="7429" max="7429" width="9.7109375" style="962" bestFit="1" customWidth="1"/>
    <col min="7430" max="7676" width="9.140625" style="962"/>
    <col min="7677" max="7677" width="7.5703125" style="962" bestFit="1" customWidth="1"/>
    <col min="7678" max="7678" width="45.85546875" style="962" bestFit="1" customWidth="1"/>
    <col min="7679" max="7679" width="11.140625" style="962" customWidth="1"/>
    <col min="7680" max="7680" width="11.7109375" style="962" customWidth="1"/>
    <col min="7681" max="7681" width="13.140625" style="962" customWidth="1"/>
    <col min="7682" max="7682" width="11" style="962" bestFit="1" customWidth="1"/>
    <col min="7683" max="7683" width="12.28515625" style="962" bestFit="1" customWidth="1"/>
    <col min="7684" max="7684" width="9.140625" style="962"/>
    <col min="7685" max="7685" width="9.7109375" style="962" bestFit="1" customWidth="1"/>
    <col min="7686" max="7932" width="9.140625" style="962"/>
    <col min="7933" max="7933" width="7.5703125" style="962" bestFit="1" customWidth="1"/>
    <col min="7934" max="7934" width="45.85546875" style="962" bestFit="1" customWidth="1"/>
    <col min="7935" max="7935" width="11.140625" style="962" customWidth="1"/>
    <col min="7936" max="7936" width="11.7109375" style="962" customWidth="1"/>
    <col min="7937" max="7937" width="13.140625" style="962" customWidth="1"/>
    <col min="7938" max="7938" width="11" style="962" bestFit="1" customWidth="1"/>
    <col min="7939" max="7939" width="12.28515625" style="962" bestFit="1" customWidth="1"/>
    <col min="7940" max="7940" width="9.140625" style="962"/>
    <col min="7941" max="7941" width="9.7109375" style="962" bestFit="1" customWidth="1"/>
    <col min="7942" max="8188" width="9.140625" style="962"/>
    <col min="8189" max="8189" width="7.5703125" style="962" bestFit="1" customWidth="1"/>
    <col min="8190" max="8190" width="45.85546875" style="962" bestFit="1" customWidth="1"/>
    <col min="8191" max="8191" width="11.140625" style="962" customWidth="1"/>
    <col min="8192" max="8192" width="11.7109375" style="962" customWidth="1"/>
    <col min="8193" max="8193" width="13.140625" style="962" customWidth="1"/>
    <col min="8194" max="8194" width="11" style="962" bestFit="1" customWidth="1"/>
    <col min="8195" max="8195" width="12.28515625" style="962" bestFit="1" customWidth="1"/>
    <col min="8196" max="8196" width="9.140625" style="962"/>
    <col min="8197" max="8197" width="9.7109375" style="962" bestFit="1" customWidth="1"/>
    <col min="8198" max="8444" width="9.140625" style="962"/>
    <col min="8445" max="8445" width="7.5703125" style="962" bestFit="1" customWidth="1"/>
    <col min="8446" max="8446" width="45.85546875" style="962" bestFit="1" customWidth="1"/>
    <col min="8447" max="8447" width="11.140625" style="962" customWidth="1"/>
    <col min="8448" max="8448" width="11.7109375" style="962" customWidth="1"/>
    <col min="8449" max="8449" width="13.140625" style="962" customWidth="1"/>
    <col min="8450" max="8450" width="11" style="962" bestFit="1" customWidth="1"/>
    <col min="8451" max="8451" width="12.28515625" style="962" bestFit="1" customWidth="1"/>
    <col min="8452" max="8452" width="9.140625" style="962"/>
    <col min="8453" max="8453" width="9.7109375" style="962" bestFit="1" customWidth="1"/>
    <col min="8454" max="8700" width="9.140625" style="962"/>
    <col min="8701" max="8701" width="7.5703125" style="962" bestFit="1" customWidth="1"/>
    <col min="8702" max="8702" width="45.85546875" style="962" bestFit="1" customWidth="1"/>
    <col min="8703" max="8703" width="11.140625" style="962" customWidth="1"/>
    <col min="8704" max="8704" width="11.7109375" style="962" customWidth="1"/>
    <col min="8705" max="8705" width="13.140625" style="962" customWidth="1"/>
    <col min="8706" max="8706" width="11" style="962" bestFit="1" customWidth="1"/>
    <col min="8707" max="8707" width="12.28515625" style="962" bestFit="1" customWidth="1"/>
    <col min="8708" max="8708" width="9.140625" style="962"/>
    <col min="8709" max="8709" width="9.7109375" style="962" bestFit="1" customWidth="1"/>
    <col min="8710" max="8956" width="9.140625" style="962"/>
    <col min="8957" max="8957" width="7.5703125" style="962" bestFit="1" customWidth="1"/>
    <col min="8958" max="8958" width="45.85546875" style="962" bestFit="1" customWidth="1"/>
    <col min="8959" max="8959" width="11.140625" style="962" customWidth="1"/>
    <col min="8960" max="8960" width="11.7109375" style="962" customWidth="1"/>
    <col min="8961" max="8961" width="13.140625" style="962" customWidth="1"/>
    <col min="8962" max="8962" width="11" style="962" bestFit="1" customWidth="1"/>
    <col min="8963" max="8963" width="12.28515625" style="962" bestFit="1" customWidth="1"/>
    <col min="8964" max="8964" width="9.140625" style="962"/>
    <col min="8965" max="8965" width="9.7109375" style="962" bestFit="1" customWidth="1"/>
    <col min="8966" max="9212" width="9.140625" style="962"/>
    <col min="9213" max="9213" width="7.5703125" style="962" bestFit="1" customWidth="1"/>
    <col min="9214" max="9214" width="45.85546875" style="962" bestFit="1" customWidth="1"/>
    <col min="9215" max="9215" width="11.140625" style="962" customWidth="1"/>
    <col min="9216" max="9216" width="11.7109375" style="962" customWidth="1"/>
    <col min="9217" max="9217" width="13.140625" style="962" customWidth="1"/>
    <col min="9218" max="9218" width="11" style="962" bestFit="1" customWidth="1"/>
    <col min="9219" max="9219" width="12.28515625" style="962" bestFit="1" customWidth="1"/>
    <col min="9220" max="9220" width="9.140625" style="962"/>
    <col min="9221" max="9221" width="9.7109375" style="962" bestFit="1" customWidth="1"/>
    <col min="9222" max="9468" width="9.140625" style="962"/>
    <col min="9469" max="9469" width="7.5703125" style="962" bestFit="1" customWidth="1"/>
    <col min="9470" max="9470" width="45.85546875" style="962" bestFit="1" customWidth="1"/>
    <col min="9471" max="9471" width="11.140625" style="962" customWidth="1"/>
    <col min="9472" max="9472" width="11.7109375" style="962" customWidth="1"/>
    <col min="9473" max="9473" width="13.140625" style="962" customWidth="1"/>
    <col min="9474" max="9474" width="11" style="962" bestFit="1" customWidth="1"/>
    <col min="9475" max="9475" width="12.28515625" style="962" bestFit="1" customWidth="1"/>
    <col min="9476" max="9476" width="9.140625" style="962"/>
    <col min="9477" max="9477" width="9.7109375" style="962" bestFit="1" customWidth="1"/>
    <col min="9478" max="9724" width="9.140625" style="962"/>
    <col min="9725" max="9725" width="7.5703125" style="962" bestFit="1" customWidth="1"/>
    <col min="9726" max="9726" width="45.85546875" style="962" bestFit="1" customWidth="1"/>
    <col min="9727" max="9727" width="11.140625" style="962" customWidth="1"/>
    <col min="9728" max="9728" width="11.7109375" style="962" customWidth="1"/>
    <col min="9729" max="9729" width="13.140625" style="962" customWidth="1"/>
    <col min="9730" max="9730" width="11" style="962" bestFit="1" customWidth="1"/>
    <col min="9731" max="9731" width="12.28515625" style="962" bestFit="1" customWidth="1"/>
    <col min="9732" max="9732" width="9.140625" style="962"/>
    <col min="9733" max="9733" width="9.7109375" style="962" bestFit="1" customWidth="1"/>
    <col min="9734" max="9980" width="9.140625" style="962"/>
    <col min="9981" max="9981" width="7.5703125" style="962" bestFit="1" customWidth="1"/>
    <col min="9982" max="9982" width="45.85546875" style="962" bestFit="1" customWidth="1"/>
    <col min="9983" max="9983" width="11.140625" style="962" customWidth="1"/>
    <col min="9984" max="9984" width="11.7109375" style="962" customWidth="1"/>
    <col min="9985" max="9985" width="13.140625" style="962" customWidth="1"/>
    <col min="9986" max="9986" width="11" style="962" bestFit="1" customWidth="1"/>
    <col min="9987" max="9987" width="12.28515625" style="962" bestFit="1" customWidth="1"/>
    <col min="9988" max="9988" width="9.140625" style="962"/>
    <col min="9989" max="9989" width="9.7109375" style="962" bestFit="1" customWidth="1"/>
    <col min="9990" max="10236" width="9.140625" style="962"/>
    <col min="10237" max="10237" width="7.5703125" style="962" bestFit="1" customWidth="1"/>
    <col min="10238" max="10238" width="45.85546875" style="962" bestFit="1" customWidth="1"/>
    <col min="10239" max="10239" width="11.140625" style="962" customWidth="1"/>
    <col min="10240" max="10240" width="11.7109375" style="962" customWidth="1"/>
    <col min="10241" max="10241" width="13.140625" style="962" customWidth="1"/>
    <col min="10242" max="10242" width="11" style="962" bestFit="1" customWidth="1"/>
    <col min="10243" max="10243" width="12.28515625" style="962" bestFit="1" customWidth="1"/>
    <col min="10244" max="10244" width="9.140625" style="962"/>
    <col min="10245" max="10245" width="9.7109375" style="962" bestFit="1" customWidth="1"/>
    <col min="10246" max="10492" width="9.140625" style="962"/>
    <col min="10493" max="10493" width="7.5703125" style="962" bestFit="1" customWidth="1"/>
    <col min="10494" max="10494" width="45.85546875" style="962" bestFit="1" customWidth="1"/>
    <col min="10495" max="10495" width="11.140625" style="962" customWidth="1"/>
    <col min="10496" max="10496" width="11.7109375" style="962" customWidth="1"/>
    <col min="10497" max="10497" width="13.140625" style="962" customWidth="1"/>
    <col min="10498" max="10498" width="11" style="962" bestFit="1" customWidth="1"/>
    <col min="10499" max="10499" width="12.28515625" style="962" bestFit="1" customWidth="1"/>
    <col min="10500" max="10500" width="9.140625" style="962"/>
    <col min="10501" max="10501" width="9.7109375" style="962" bestFit="1" customWidth="1"/>
    <col min="10502" max="10748" width="9.140625" style="962"/>
    <col min="10749" max="10749" width="7.5703125" style="962" bestFit="1" customWidth="1"/>
    <col min="10750" max="10750" width="45.85546875" style="962" bestFit="1" customWidth="1"/>
    <col min="10751" max="10751" width="11.140625" style="962" customWidth="1"/>
    <col min="10752" max="10752" width="11.7109375" style="962" customWidth="1"/>
    <col min="10753" max="10753" width="13.140625" style="962" customWidth="1"/>
    <col min="10754" max="10754" width="11" style="962" bestFit="1" customWidth="1"/>
    <col min="10755" max="10755" width="12.28515625" style="962" bestFit="1" customWidth="1"/>
    <col min="10756" max="10756" width="9.140625" style="962"/>
    <col min="10757" max="10757" width="9.7109375" style="962" bestFit="1" customWidth="1"/>
    <col min="10758" max="11004" width="9.140625" style="962"/>
    <col min="11005" max="11005" width="7.5703125" style="962" bestFit="1" customWidth="1"/>
    <col min="11006" max="11006" width="45.85546875" style="962" bestFit="1" customWidth="1"/>
    <col min="11007" max="11007" width="11.140625" style="962" customWidth="1"/>
    <col min="11008" max="11008" width="11.7109375" style="962" customWidth="1"/>
    <col min="11009" max="11009" width="13.140625" style="962" customWidth="1"/>
    <col min="11010" max="11010" width="11" style="962" bestFit="1" customWidth="1"/>
    <col min="11011" max="11011" width="12.28515625" style="962" bestFit="1" customWidth="1"/>
    <col min="11012" max="11012" width="9.140625" style="962"/>
    <col min="11013" max="11013" width="9.7109375" style="962" bestFit="1" customWidth="1"/>
    <col min="11014" max="11260" width="9.140625" style="962"/>
    <col min="11261" max="11261" width="7.5703125" style="962" bestFit="1" customWidth="1"/>
    <col min="11262" max="11262" width="45.85546875" style="962" bestFit="1" customWidth="1"/>
    <col min="11263" max="11263" width="11.140625" style="962" customWidth="1"/>
    <col min="11264" max="11264" width="11.7109375" style="962" customWidth="1"/>
    <col min="11265" max="11265" width="13.140625" style="962" customWidth="1"/>
    <col min="11266" max="11266" width="11" style="962" bestFit="1" customWidth="1"/>
    <col min="11267" max="11267" width="12.28515625" style="962" bestFit="1" customWidth="1"/>
    <col min="11268" max="11268" width="9.140625" style="962"/>
    <col min="11269" max="11269" width="9.7109375" style="962" bestFit="1" customWidth="1"/>
    <col min="11270" max="11516" width="9.140625" style="962"/>
    <col min="11517" max="11517" width="7.5703125" style="962" bestFit="1" customWidth="1"/>
    <col min="11518" max="11518" width="45.85546875" style="962" bestFit="1" customWidth="1"/>
    <col min="11519" max="11519" width="11.140625" style="962" customWidth="1"/>
    <col min="11520" max="11520" width="11.7109375" style="962" customWidth="1"/>
    <col min="11521" max="11521" width="13.140625" style="962" customWidth="1"/>
    <col min="11522" max="11522" width="11" style="962" bestFit="1" customWidth="1"/>
    <col min="11523" max="11523" width="12.28515625" style="962" bestFit="1" customWidth="1"/>
    <col min="11524" max="11524" width="9.140625" style="962"/>
    <col min="11525" max="11525" width="9.7109375" style="962" bestFit="1" customWidth="1"/>
    <col min="11526" max="11772" width="9.140625" style="962"/>
    <col min="11773" max="11773" width="7.5703125" style="962" bestFit="1" customWidth="1"/>
    <col min="11774" max="11774" width="45.85546875" style="962" bestFit="1" customWidth="1"/>
    <col min="11775" max="11775" width="11.140625" style="962" customWidth="1"/>
    <col min="11776" max="11776" width="11.7109375" style="962" customWidth="1"/>
    <col min="11777" max="11777" width="13.140625" style="962" customWidth="1"/>
    <col min="11778" max="11778" width="11" style="962" bestFit="1" customWidth="1"/>
    <col min="11779" max="11779" width="12.28515625" style="962" bestFit="1" customWidth="1"/>
    <col min="11780" max="11780" width="9.140625" style="962"/>
    <col min="11781" max="11781" width="9.7109375" style="962" bestFit="1" customWidth="1"/>
    <col min="11782" max="12028" width="9.140625" style="962"/>
    <col min="12029" max="12029" width="7.5703125" style="962" bestFit="1" customWidth="1"/>
    <col min="12030" max="12030" width="45.85546875" style="962" bestFit="1" customWidth="1"/>
    <col min="12031" max="12031" width="11.140625" style="962" customWidth="1"/>
    <col min="12032" max="12032" width="11.7109375" style="962" customWidth="1"/>
    <col min="12033" max="12033" width="13.140625" style="962" customWidth="1"/>
    <col min="12034" max="12034" width="11" style="962" bestFit="1" customWidth="1"/>
    <col min="12035" max="12035" width="12.28515625" style="962" bestFit="1" customWidth="1"/>
    <col min="12036" max="12036" width="9.140625" style="962"/>
    <col min="12037" max="12037" width="9.7109375" style="962" bestFit="1" customWidth="1"/>
    <col min="12038" max="12284" width="9.140625" style="962"/>
    <col min="12285" max="12285" width="7.5703125" style="962" bestFit="1" customWidth="1"/>
    <col min="12286" max="12286" width="45.85546875" style="962" bestFit="1" customWidth="1"/>
    <col min="12287" max="12287" width="11.140625" style="962" customWidth="1"/>
    <col min="12288" max="12288" width="11.7109375" style="962" customWidth="1"/>
    <col min="12289" max="12289" width="13.140625" style="962" customWidth="1"/>
    <col min="12290" max="12290" width="11" style="962" bestFit="1" customWidth="1"/>
    <col min="12291" max="12291" width="12.28515625" style="962" bestFit="1" customWidth="1"/>
    <col min="12292" max="12292" width="9.140625" style="962"/>
    <col min="12293" max="12293" width="9.7109375" style="962" bestFit="1" customWidth="1"/>
    <col min="12294" max="12540" width="9.140625" style="962"/>
    <col min="12541" max="12541" width="7.5703125" style="962" bestFit="1" customWidth="1"/>
    <col min="12542" max="12542" width="45.85546875" style="962" bestFit="1" customWidth="1"/>
    <col min="12543" max="12543" width="11.140625" style="962" customWidth="1"/>
    <col min="12544" max="12544" width="11.7109375" style="962" customWidth="1"/>
    <col min="12545" max="12545" width="13.140625" style="962" customWidth="1"/>
    <col min="12546" max="12546" width="11" style="962" bestFit="1" customWidth="1"/>
    <col min="12547" max="12547" width="12.28515625" style="962" bestFit="1" customWidth="1"/>
    <col min="12548" max="12548" width="9.140625" style="962"/>
    <col min="12549" max="12549" width="9.7109375" style="962" bestFit="1" customWidth="1"/>
    <col min="12550" max="12796" width="9.140625" style="962"/>
    <col min="12797" max="12797" width="7.5703125" style="962" bestFit="1" customWidth="1"/>
    <col min="12798" max="12798" width="45.85546875" style="962" bestFit="1" customWidth="1"/>
    <col min="12799" max="12799" width="11.140625" style="962" customWidth="1"/>
    <col min="12800" max="12800" width="11.7109375" style="962" customWidth="1"/>
    <col min="12801" max="12801" width="13.140625" style="962" customWidth="1"/>
    <col min="12802" max="12802" width="11" style="962" bestFit="1" customWidth="1"/>
    <col min="12803" max="12803" width="12.28515625" style="962" bestFit="1" customWidth="1"/>
    <col min="12804" max="12804" width="9.140625" style="962"/>
    <col min="12805" max="12805" width="9.7109375" style="962" bestFit="1" customWidth="1"/>
    <col min="12806" max="13052" width="9.140625" style="962"/>
    <col min="13053" max="13053" width="7.5703125" style="962" bestFit="1" customWidth="1"/>
    <col min="13054" max="13054" width="45.85546875" style="962" bestFit="1" customWidth="1"/>
    <col min="13055" max="13055" width="11.140625" style="962" customWidth="1"/>
    <col min="13056" max="13056" width="11.7109375" style="962" customWidth="1"/>
    <col min="13057" max="13057" width="13.140625" style="962" customWidth="1"/>
    <col min="13058" max="13058" width="11" style="962" bestFit="1" customWidth="1"/>
    <col min="13059" max="13059" width="12.28515625" style="962" bestFit="1" customWidth="1"/>
    <col min="13060" max="13060" width="9.140625" style="962"/>
    <col min="13061" max="13061" width="9.7109375" style="962" bestFit="1" customWidth="1"/>
    <col min="13062" max="13308" width="9.140625" style="962"/>
    <col min="13309" max="13309" width="7.5703125" style="962" bestFit="1" customWidth="1"/>
    <col min="13310" max="13310" width="45.85546875" style="962" bestFit="1" customWidth="1"/>
    <col min="13311" max="13311" width="11.140625" style="962" customWidth="1"/>
    <col min="13312" max="13312" width="11.7109375" style="962" customWidth="1"/>
    <col min="13313" max="13313" width="13.140625" style="962" customWidth="1"/>
    <col min="13314" max="13314" width="11" style="962" bestFit="1" customWidth="1"/>
    <col min="13315" max="13315" width="12.28515625" style="962" bestFit="1" customWidth="1"/>
    <col min="13316" max="13316" width="9.140625" style="962"/>
    <col min="13317" max="13317" width="9.7109375" style="962" bestFit="1" customWidth="1"/>
    <col min="13318" max="13564" width="9.140625" style="962"/>
    <col min="13565" max="13565" width="7.5703125" style="962" bestFit="1" customWidth="1"/>
    <col min="13566" max="13566" width="45.85546875" style="962" bestFit="1" customWidth="1"/>
    <col min="13567" max="13567" width="11.140625" style="962" customWidth="1"/>
    <col min="13568" max="13568" width="11.7109375" style="962" customWidth="1"/>
    <col min="13569" max="13569" width="13.140625" style="962" customWidth="1"/>
    <col min="13570" max="13570" width="11" style="962" bestFit="1" customWidth="1"/>
    <col min="13571" max="13571" width="12.28515625" style="962" bestFit="1" customWidth="1"/>
    <col min="13572" max="13572" width="9.140625" style="962"/>
    <col min="13573" max="13573" width="9.7109375" style="962" bestFit="1" customWidth="1"/>
    <col min="13574" max="13820" width="9.140625" style="962"/>
    <col min="13821" max="13821" width="7.5703125" style="962" bestFit="1" customWidth="1"/>
    <col min="13822" max="13822" width="45.85546875" style="962" bestFit="1" customWidth="1"/>
    <col min="13823" max="13823" width="11.140625" style="962" customWidth="1"/>
    <col min="13824" max="13824" width="11.7109375" style="962" customWidth="1"/>
    <col min="13825" max="13825" width="13.140625" style="962" customWidth="1"/>
    <col min="13826" max="13826" width="11" style="962" bestFit="1" customWidth="1"/>
    <col min="13827" max="13827" width="12.28515625" style="962" bestFit="1" customWidth="1"/>
    <col min="13828" max="13828" width="9.140625" style="962"/>
    <col min="13829" max="13829" width="9.7109375" style="962" bestFit="1" customWidth="1"/>
    <col min="13830" max="14076" width="9.140625" style="962"/>
    <col min="14077" max="14077" width="7.5703125" style="962" bestFit="1" customWidth="1"/>
    <col min="14078" max="14078" width="45.85546875" style="962" bestFit="1" customWidth="1"/>
    <col min="14079" max="14079" width="11.140625" style="962" customWidth="1"/>
    <col min="14080" max="14080" width="11.7109375" style="962" customWidth="1"/>
    <col min="14081" max="14081" width="13.140625" style="962" customWidth="1"/>
    <col min="14082" max="14082" width="11" style="962" bestFit="1" customWidth="1"/>
    <col min="14083" max="14083" width="12.28515625" style="962" bestFit="1" customWidth="1"/>
    <col min="14084" max="14084" width="9.140625" style="962"/>
    <col min="14085" max="14085" width="9.7109375" style="962" bestFit="1" customWidth="1"/>
    <col min="14086" max="14332" width="9.140625" style="962"/>
    <col min="14333" max="14333" width="7.5703125" style="962" bestFit="1" customWidth="1"/>
    <col min="14334" max="14334" width="45.85546875" style="962" bestFit="1" customWidth="1"/>
    <col min="14335" max="14335" width="11.140625" style="962" customWidth="1"/>
    <col min="14336" max="14336" width="11.7109375" style="962" customWidth="1"/>
    <col min="14337" max="14337" width="13.140625" style="962" customWidth="1"/>
    <col min="14338" max="14338" width="11" style="962" bestFit="1" customWidth="1"/>
    <col min="14339" max="14339" width="12.28515625" style="962" bestFit="1" customWidth="1"/>
    <col min="14340" max="14340" width="9.140625" style="962"/>
    <col min="14341" max="14341" width="9.7109375" style="962" bestFit="1" customWidth="1"/>
    <col min="14342" max="14588" width="9.140625" style="962"/>
    <col min="14589" max="14589" width="7.5703125" style="962" bestFit="1" customWidth="1"/>
    <col min="14590" max="14590" width="45.85546875" style="962" bestFit="1" customWidth="1"/>
    <col min="14591" max="14591" width="11.140625" style="962" customWidth="1"/>
    <col min="14592" max="14592" width="11.7109375" style="962" customWidth="1"/>
    <col min="14593" max="14593" width="13.140625" style="962" customWidth="1"/>
    <col min="14594" max="14594" width="11" style="962" bestFit="1" customWidth="1"/>
    <col min="14595" max="14595" width="12.28515625" style="962" bestFit="1" customWidth="1"/>
    <col min="14596" max="14596" width="9.140625" style="962"/>
    <col min="14597" max="14597" width="9.7109375" style="962" bestFit="1" customWidth="1"/>
    <col min="14598" max="14844" width="9.140625" style="962"/>
    <col min="14845" max="14845" width="7.5703125" style="962" bestFit="1" customWidth="1"/>
    <col min="14846" max="14846" width="45.85546875" style="962" bestFit="1" customWidth="1"/>
    <col min="14847" max="14847" width="11.140625" style="962" customWidth="1"/>
    <col min="14848" max="14848" width="11.7109375" style="962" customWidth="1"/>
    <col min="14849" max="14849" width="13.140625" style="962" customWidth="1"/>
    <col min="14850" max="14850" width="11" style="962" bestFit="1" customWidth="1"/>
    <col min="14851" max="14851" width="12.28515625" style="962" bestFit="1" customWidth="1"/>
    <col min="14852" max="14852" width="9.140625" style="962"/>
    <col min="14853" max="14853" width="9.7109375" style="962" bestFit="1" customWidth="1"/>
    <col min="14854" max="15100" width="9.140625" style="962"/>
    <col min="15101" max="15101" width="7.5703125" style="962" bestFit="1" customWidth="1"/>
    <col min="15102" max="15102" width="45.85546875" style="962" bestFit="1" customWidth="1"/>
    <col min="15103" max="15103" width="11.140625" style="962" customWidth="1"/>
    <col min="15104" max="15104" width="11.7109375" style="962" customWidth="1"/>
    <col min="15105" max="15105" width="13.140625" style="962" customWidth="1"/>
    <col min="15106" max="15106" width="11" style="962" bestFit="1" customWidth="1"/>
    <col min="15107" max="15107" width="12.28515625" style="962" bestFit="1" customWidth="1"/>
    <col min="15108" max="15108" width="9.140625" style="962"/>
    <col min="15109" max="15109" width="9.7109375" style="962" bestFit="1" customWidth="1"/>
    <col min="15110" max="15356" width="9.140625" style="962"/>
    <col min="15357" max="15357" width="7.5703125" style="962" bestFit="1" customWidth="1"/>
    <col min="15358" max="15358" width="45.85546875" style="962" bestFit="1" customWidth="1"/>
    <col min="15359" max="15359" width="11.140625" style="962" customWidth="1"/>
    <col min="15360" max="15360" width="11.7109375" style="962" customWidth="1"/>
    <col min="15361" max="15361" width="13.140625" style="962" customWidth="1"/>
    <col min="15362" max="15362" width="11" style="962" bestFit="1" customWidth="1"/>
    <col min="15363" max="15363" width="12.28515625" style="962" bestFit="1" customWidth="1"/>
    <col min="15364" max="15364" width="9.140625" style="962"/>
    <col min="15365" max="15365" width="9.7109375" style="962" bestFit="1" customWidth="1"/>
    <col min="15366" max="15612" width="9.140625" style="962"/>
    <col min="15613" max="15613" width="7.5703125" style="962" bestFit="1" customWidth="1"/>
    <col min="15614" max="15614" width="45.85546875" style="962" bestFit="1" customWidth="1"/>
    <col min="15615" max="15615" width="11.140625" style="962" customWidth="1"/>
    <col min="15616" max="15616" width="11.7109375" style="962" customWidth="1"/>
    <col min="15617" max="15617" width="13.140625" style="962" customWidth="1"/>
    <col min="15618" max="15618" width="11" style="962" bestFit="1" customWidth="1"/>
    <col min="15619" max="15619" width="12.28515625" style="962" bestFit="1" customWidth="1"/>
    <col min="15620" max="15620" width="9.140625" style="962"/>
    <col min="15621" max="15621" width="9.7109375" style="962" bestFit="1" customWidth="1"/>
    <col min="15622" max="15868" width="9.140625" style="962"/>
    <col min="15869" max="15869" width="7.5703125" style="962" bestFit="1" customWidth="1"/>
    <col min="15870" max="15870" width="45.85546875" style="962" bestFit="1" customWidth="1"/>
    <col min="15871" max="15871" width="11.140625" style="962" customWidth="1"/>
    <col min="15872" max="15872" width="11.7109375" style="962" customWidth="1"/>
    <col min="15873" max="15873" width="13.140625" style="962" customWidth="1"/>
    <col min="15874" max="15874" width="11" style="962" bestFit="1" customWidth="1"/>
    <col min="15875" max="15875" width="12.28515625" style="962" bestFit="1" customWidth="1"/>
    <col min="15876" max="15876" width="9.140625" style="962"/>
    <col min="15877" max="15877" width="9.7109375" style="962" bestFit="1" customWidth="1"/>
    <col min="15878" max="16124" width="9.140625" style="962"/>
    <col min="16125" max="16125" width="7.5703125" style="962" bestFit="1" customWidth="1"/>
    <col min="16126" max="16126" width="45.85546875" style="962" bestFit="1" customWidth="1"/>
    <col min="16127" max="16127" width="11.140625" style="962" customWidth="1"/>
    <col min="16128" max="16128" width="11.7109375" style="962" customWidth="1"/>
    <col min="16129" max="16129" width="13.140625" style="962" customWidth="1"/>
    <col min="16130" max="16130" width="11" style="962" bestFit="1" customWidth="1"/>
    <col min="16131" max="16131" width="12.28515625" style="962" bestFit="1" customWidth="1"/>
    <col min="16132" max="16132" width="9.140625" style="962"/>
    <col min="16133" max="16133" width="9.7109375" style="962" bestFit="1" customWidth="1"/>
    <col min="16134" max="16384" width="9.140625" style="962"/>
  </cols>
  <sheetData>
    <row r="1" spans="3:10" ht="16.5" thickBot="1">
      <c r="D1" s="960"/>
      <c r="E1" s="961"/>
      <c r="F1" s="960"/>
      <c r="G1" s="960"/>
      <c r="H1" s="960"/>
      <c r="I1" s="960"/>
      <c r="J1" s="960"/>
    </row>
    <row r="2" spans="3:10" ht="25.5" customHeight="1" thickBot="1">
      <c r="C2" s="1464" t="s">
        <v>75</v>
      </c>
      <c r="D2" s="1465"/>
      <c r="E2" s="1465"/>
      <c r="F2" s="1465"/>
      <c r="G2" s="1465"/>
      <c r="H2" s="1465"/>
      <c r="I2" s="1465"/>
      <c r="J2" s="1466"/>
    </row>
    <row r="3" spans="3:10" ht="32.25" customHeight="1">
      <c r="C3" s="1468" t="s">
        <v>2957</v>
      </c>
      <c r="D3" s="1469"/>
      <c r="E3" s="1469"/>
      <c r="F3" s="1469"/>
      <c r="G3" s="1469"/>
      <c r="H3" s="1000"/>
      <c r="I3" s="1000"/>
      <c r="J3" s="1001"/>
    </row>
    <row r="4" spans="3:10" ht="16.5" customHeight="1">
      <c r="C4" s="1467" t="s">
        <v>76</v>
      </c>
      <c r="D4" s="1467"/>
      <c r="E4" s="1458" t="s">
        <v>2921</v>
      </c>
      <c r="F4" s="1458"/>
      <c r="G4" s="1458"/>
      <c r="H4" s="989"/>
      <c r="I4" s="989"/>
      <c r="J4" s="990"/>
    </row>
    <row r="5" spans="3:10" ht="16.5" customHeight="1">
      <c r="C5" s="1467" t="s">
        <v>2545</v>
      </c>
      <c r="D5" s="1467"/>
      <c r="E5" s="1458" t="s">
        <v>2922</v>
      </c>
      <c r="F5" s="1458"/>
      <c r="G5" s="1458"/>
      <c r="H5" s="989"/>
      <c r="I5" s="989"/>
      <c r="J5" s="990"/>
    </row>
    <row r="6" spans="3:10" ht="16.5" customHeight="1">
      <c r="C6" s="1467" t="s">
        <v>78</v>
      </c>
      <c r="D6" s="1467"/>
      <c r="E6" s="1472" t="s">
        <v>2923</v>
      </c>
      <c r="F6" s="1472"/>
      <c r="G6" s="1472"/>
      <c r="H6" s="988"/>
      <c r="I6" s="988"/>
      <c r="J6" s="991"/>
    </row>
    <row r="7" spans="3:10" ht="16.5" customHeight="1">
      <c r="C7" s="1470" t="s">
        <v>183</v>
      </c>
      <c r="D7" s="1471"/>
      <c r="E7" s="1472" t="s">
        <v>2923</v>
      </c>
      <c r="F7" s="1472"/>
      <c r="G7" s="1472"/>
      <c r="H7" s="988"/>
      <c r="I7" s="988"/>
      <c r="J7" s="991"/>
    </row>
    <row r="8" spans="3:10" ht="16.5" customHeight="1">
      <c r="C8" s="1470" t="s">
        <v>184</v>
      </c>
      <c r="D8" s="1471"/>
      <c r="E8" s="1472" t="s">
        <v>2924</v>
      </c>
      <c r="F8" s="1472"/>
      <c r="G8" s="1472"/>
      <c r="H8" s="988"/>
      <c r="I8" s="988"/>
      <c r="J8" s="991"/>
    </row>
    <row r="9" spans="3:10" ht="16.5" customHeight="1">
      <c r="C9" s="1467" t="s">
        <v>97</v>
      </c>
      <c r="D9" s="1467"/>
      <c r="E9" s="1473">
        <v>41729</v>
      </c>
      <c r="F9" s="1473"/>
      <c r="G9" s="1473"/>
      <c r="H9" s="999"/>
      <c r="I9" s="999"/>
      <c r="J9" s="991"/>
    </row>
    <row r="10" spans="3:10" ht="16.5" customHeight="1">
      <c r="C10" s="1467" t="s">
        <v>98</v>
      </c>
      <c r="D10" s="1467"/>
      <c r="E10" s="1458" t="s">
        <v>2939</v>
      </c>
      <c r="F10" s="1458"/>
      <c r="G10" s="1458"/>
      <c r="H10" s="989"/>
      <c r="I10" s="989"/>
      <c r="J10" s="990"/>
    </row>
    <row r="11" spans="3:10" ht="16.5" customHeight="1" thickBot="1">
      <c r="C11" s="1467" t="s">
        <v>79</v>
      </c>
      <c r="D11" s="1467"/>
      <c r="E11" s="1458" t="s">
        <v>2940</v>
      </c>
      <c r="F11" s="1458"/>
      <c r="G11" s="1458"/>
      <c r="H11" s="997"/>
      <c r="I11" s="997"/>
      <c r="J11" s="998"/>
    </row>
    <row r="12" spans="3:10" ht="65.25" customHeight="1">
      <c r="C12" s="1459" t="s">
        <v>2961</v>
      </c>
      <c r="D12" s="1460"/>
      <c r="E12" s="1460"/>
      <c r="F12" s="1460"/>
      <c r="G12" s="1460"/>
      <c r="H12" s="1460"/>
      <c r="I12" s="1460"/>
      <c r="J12" s="1461"/>
    </row>
    <row r="13" spans="3:10" ht="57">
      <c r="C13" s="1462" t="s">
        <v>2915</v>
      </c>
      <c r="D13" s="1463" t="s">
        <v>2714</v>
      </c>
      <c r="E13" s="1463" t="s">
        <v>2715</v>
      </c>
      <c r="F13" s="1463" t="s">
        <v>2916</v>
      </c>
      <c r="G13" s="1463" t="s">
        <v>2917</v>
      </c>
      <c r="H13" s="1002" t="s">
        <v>2918</v>
      </c>
      <c r="I13" s="1002" t="s">
        <v>2919</v>
      </c>
      <c r="J13" s="1002" t="s">
        <v>2920</v>
      </c>
    </row>
    <row r="14" spans="3:10" ht="18" hidden="1" customHeight="1" thickBot="1">
      <c r="C14" s="1462"/>
      <c r="D14" s="1463"/>
      <c r="E14" s="1463"/>
      <c r="F14" s="1463"/>
      <c r="G14" s="1463"/>
      <c r="H14" s="1003"/>
      <c r="I14" s="1003"/>
      <c r="J14" s="1003"/>
    </row>
    <row r="15" spans="3:10" ht="15.75">
      <c r="C15" s="963"/>
      <c r="D15" s="964"/>
      <c r="E15" s="964"/>
      <c r="F15" s="964"/>
      <c r="G15" s="964"/>
      <c r="H15" s="965"/>
      <c r="I15" s="965"/>
      <c r="J15" s="966"/>
    </row>
    <row r="16" spans="3:10" ht="15.75">
      <c r="C16" s="963"/>
      <c r="D16" s="967"/>
      <c r="E16" s="968"/>
      <c r="F16" s="969"/>
      <c r="G16" s="970"/>
      <c r="H16" s="971"/>
      <c r="I16" s="971"/>
      <c r="J16" s="972"/>
    </row>
    <row r="17" spans="3:10" ht="15.75">
      <c r="C17" s="963"/>
      <c r="D17" s="967"/>
      <c r="E17" s="968"/>
      <c r="F17" s="969"/>
      <c r="G17" s="970"/>
      <c r="H17" s="971"/>
      <c r="I17" s="971"/>
      <c r="J17" s="972"/>
    </row>
    <row r="18" spans="3:10" ht="15.75">
      <c r="C18" s="963"/>
      <c r="D18" s="967"/>
      <c r="E18" s="968"/>
      <c r="F18" s="969"/>
      <c r="G18" s="970"/>
      <c r="H18" s="971"/>
      <c r="I18" s="971"/>
      <c r="J18" s="972"/>
    </row>
    <row r="19" spans="3:10" ht="15.75">
      <c r="C19" s="963"/>
      <c r="D19" s="967"/>
      <c r="E19" s="968"/>
      <c r="F19" s="969"/>
      <c r="G19" s="970"/>
      <c r="H19" s="971"/>
      <c r="I19" s="971"/>
      <c r="J19" s="972"/>
    </row>
    <row r="20" spans="3:10" ht="15.75">
      <c r="C20" s="963"/>
      <c r="D20" s="967"/>
      <c r="E20" s="968"/>
      <c r="F20" s="969"/>
      <c r="G20" s="970"/>
      <c r="H20" s="971"/>
      <c r="I20" s="971"/>
      <c r="J20" s="972"/>
    </row>
    <row r="21" spans="3:10" ht="15.75">
      <c r="C21" s="963"/>
      <c r="D21" s="967"/>
      <c r="E21" s="968"/>
      <c r="F21" s="969"/>
      <c r="G21" s="970"/>
      <c r="H21" s="971"/>
      <c r="I21" s="971"/>
      <c r="J21" s="972"/>
    </row>
    <row r="22" spans="3:10" ht="15.75">
      <c r="C22" s="963"/>
      <c r="D22" s="967"/>
      <c r="E22" s="968"/>
      <c r="F22" s="969"/>
      <c r="G22" s="970"/>
      <c r="H22" s="971"/>
      <c r="I22" s="971"/>
      <c r="J22" s="972"/>
    </row>
    <row r="23" spans="3:10" ht="15.75">
      <c r="C23" s="963"/>
      <c r="D23" s="967"/>
      <c r="E23" s="968"/>
      <c r="F23" s="969"/>
      <c r="G23" s="970"/>
      <c r="H23" s="970"/>
      <c r="I23" s="970"/>
      <c r="J23" s="973"/>
    </row>
    <row r="24" spans="3:10" ht="15.75">
      <c r="C24" s="963"/>
      <c r="D24" s="967"/>
      <c r="E24" s="968"/>
      <c r="F24" s="969"/>
      <c r="G24" s="970"/>
      <c r="H24" s="971"/>
      <c r="I24" s="970"/>
      <c r="J24" s="974"/>
    </row>
    <row r="25" spans="3:10" ht="15.75">
      <c r="C25" s="963"/>
      <c r="D25" s="967"/>
      <c r="E25" s="968"/>
      <c r="F25" s="969"/>
      <c r="G25" s="970"/>
      <c r="H25" s="971"/>
      <c r="I25" s="970"/>
      <c r="J25" s="974"/>
    </row>
    <row r="26" spans="3:10" ht="15.75">
      <c r="C26" s="963"/>
      <c r="D26" s="967"/>
      <c r="E26" s="968"/>
      <c r="F26" s="969"/>
      <c r="G26" s="970"/>
      <c r="H26" s="971"/>
      <c r="I26" s="970"/>
      <c r="J26" s="974"/>
    </row>
    <row r="27" spans="3:10" ht="15.75">
      <c r="C27" s="963"/>
      <c r="D27" s="967"/>
      <c r="E27" s="968"/>
      <c r="F27" s="969"/>
      <c r="G27" s="970"/>
      <c r="H27" s="971"/>
      <c r="I27" s="970"/>
      <c r="J27" s="974"/>
    </row>
    <row r="28" spans="3:10" ht="15.75">
      <c r="C28" s="963"/>
      <c r="D28" s="967"/>
      <c r="E28" s="968"/>
      <c r="F28" s="969"/>
      <c r="G28" s="970"/>
      <c r="H28" s="971"/>
      <c r="I28" s="970"/>
      <c r="J28" s="974"/>
    </row>
    <row r="29" spans="3:10" ht="15.75">
      <c r="C29" s="963"/>
      <c r="D29" s="967"/>
      <c r="E29" s="968"/>
      <c r="F29" s="969"/>
      <c r="G29" s="970"/>
      <c r="H29" s="971"/>
      <c r="I29" s="970"/>
      <c r="J29" s="974"/>
    </row>
    <row r="30" spans="3:10" ht="15.75">
      <c r="C30" s="963"/>
      <c r="D30" s="967"/>
      <c r="E30" s="968"/>
      <c r="F30" s="969"/>
      <c r="G30" s="970"/>
      <c r="H30" s="971"/>
      <c r="I30" s="970"/>
      <c r="J30" s="974"/>
    </row>
    <row r="31" spans="3:10" ht="15.75">
      <c r="C31" s="963"/>
      <c r="D31" s="967"/>
      <c r="E31" s="968"/>
      <c r="F31" s="969"/>
      <c r="G31" s="970"/>
      <c r="H31" s="971"/>
      <c r="I31" s="970"/>
      <c r="J31" s="974"/>
    </row>
    <row r="32" spans="3:10" ht="15.75">
      <c r="C32" s="963"/>
      <c r="D32" s="967"/>
      <c r="E32" s="968"/>
      <c r="F32" s="969"/>
      <c r="G32" s="970"/>
      <c r="H32" s="971"/>
      <c r="I32" s="970"/>
      <c r="J32" s="974"/>
    </row>
    <row r="33" spans="3:10" ht="15.75">
      <c r="C33" s="963"/>
      <c r="D33" s="967"/>
      <c r="E33" s="968"/>
      <c r="F33" s="969"/>
      <c r="G33" s="970"/>
      <c r="H33" s="971"/>
      <c r="I33" s="970"/>
      <c r="J33" s="974"/>
    </row>
    <row r="34" spans="3:10" ht="15.75">
      <c r="C34" s="963"/>
      <c r="D34" s="967"/>
      <c r="E34" s="968"/>
      <c r="F34" s="969"/>
      <c r="G34" s="970"/>
      <c r="H34" s="971"/>
      <c r="I34" s="970"/>
      <c r="J34" s="974"/>
    </row>
    <row r="35" spans="3:10" ht="15.75">
      <c r="C35" s="963"/>
      <c r="D35" s="967"/>
      <c r="E35" s="968"/>
      <c r="F35" s="969"/>
      <c r="G35" s="970"/>
      <c r="H35" s="971"/>
      <c r="I35" s="970"/>
      <c r="J35" s="974"/>
    </row>
    <row r="36" spans="3:10" ht="15.75">
      <c r="C36" s="963"/>
      <c r="D36" s="967"/>
      <c r="E36" s="968"/>
      <c r="F36" s="969"/>
      <c r="G36" s="970"/>
      <c r="H36" s="971"/>
      <c r="I36" s="970"/>
      <c r="J36" s="974"/>
    </row>
    <row r="37" spans="3:10" ht="15.75">
      <c r="C37" s="963"/>
      <c r="D37" s="967"/>
      <c r="E37" s="968"/>
      <c r="F37" s="969"/>
      <c r="G37" s="970"/>
      <c r="H37" s="971"/>
      <c r="I37" s="970"/>
      <c r="J37" s="974"/>
    </row>
    <row r="38" spans="3:10" ht="15.75">
      <c r="C38" s="963"/>
      <c r="D38" s="967"/>
      <c r="E38" s="968"/>
      <c r="F38" s="969"/>
      <c r="G38" s="970"/>
      <c r="H38" s="971"/>
      <c r="I38" s="970"/>
      <c r="J38" s="974"/>
    </row>
    <row r="39" spans="3:10" ht="15.75">
      <c r="C39" s="963"/>
      <c r="D39" s="967"/>
      <c r="E39" s="968"/>
      <c r="F39" s="969"/>
      <c r="G39" s="970"/>
      <c r="H39" s="971"/>
      <c r="I39" s="970"/>
      <c r="J39" s="974"/>
    </row>
    <row r="40" spans="3:10" ht="15.75">
      <c r="C40" s="963"/>
      <c r="D40" s="967"/>
      <c r="E40" s="968"/>
      <c r="F40" s="969"/>
      <c r="G40" s="970"/>
      <c r="H40" s="971"/>
      <c r="I40" s="970"/>
      <c r="J40" s="974"/>
    </row>
    <row r="41" spans="3:10" ht="15.75">
      <c r="C41" s="963"/>
      <c r="D41" s="967"/>
      <c r="E41" s="968"/>
      <c r="F41" s="969"/>
      <c r="G41" s="970"/>
      <c r="H41" s="971"/>
      <c r="I41" s="970"/>
      <c r="J41" s="974"/>
    </row>
    <row r="42" spans="3:10" ht="15.75">
      <c r="C42" s="963"/>
      <c r="D42" s="967"/>
      <c r="E42" s="968"/>
      <c r="F42" s="969"/>
      <c r="G42" s="970"/>
      <c r="H42" s="971"/>
      <c r="I42" s="970"/>
      <c r="J42" s="974"/>
    </row>
    <row r="43" spans="3:10" ht="15.75">
      <c r="C43" s="963"/>
      <c r="D43" s="967"/>
      <c r="E43" s="968"/>
      <c r="F43" s="969"/>
      <c r="G43" s="970"/>
      <c r="H43" s="971"/>
      <c r="I43" s="970"/>
      <c r="J43" s="974"/>
    </row>
    <row r="44" spans="3:10" ht="15.75">
      <c r="C44" s="963"/>
      <c r="D44" s="967"/>
      <c r="E44" s="968"/>
      <c r="F44" s="969"/>
      <c r="G44" s="970"/>
      <c r="H44" s="971"/>
      <c r="I44" s="970"/>
      <c r="J44" s="974"/>
    </row>
    <row r="45" spans="3:10" ht="15.75">
      <c r="C45" s="963"/>
      <c r="D45" s="967"/>
      <c r="E45" s="968"/>
      <c r="F45" s="969"/>
      <c r="G45" s="970"/>
      <c r="H45" s="971"/>
      <c r="I45" s="970"/>
      <c r="J45" s="974"/>
    </row>
    <row r="46" spans="3:10" ht="15.75">
      <c r="C46" s="963"/>
      <c r="D46" s="967"/>
      <c r="E46" s="968"/>
      <c r="F46" s="969"/>
      <c r="G46" s="970"/>
      <c r="H46" s="971"/>
      <c r="I46" s="970"/>
      <c r="J46" s="974"/>
    </row>
    <row r="47" spans="3:10" ht="15.75">
      <c r="C47" s="963"/>
      <c r="D47" s="967"/>
      <c r="E47" s="968"/>
      <c r="F47" s="969"/>
      <c r="G47" s="970"/>
      <c r="H47" s="971"/>
      <c r="I47" s="970"/>
      <c r="J47" s="974"/>
    </row>
    <row r="48" spans="3:10" ht="15.75">
      <c r="C48" s="963"/>
      <c r="D48" s="967"/>
      <c r="E48" s="968"/>
      <c r="F48" s="969"/>
      <c r="G48" s="970"/>
      <c r="H48" s="971"/>
      <c r="I48" s="970"/>
      <c r="J48" s="974"/>
    </row>
    <row r="49" spans="3:10" ht="15.75">
      <c r="C49" s="963"/>
      <c r="D49" s="967"/>
      <c r="E49" s="968"/>
      <c r="F49" s="969"/>
      <c r="G49" s="970"/>
      <c r="H49" s="971"/>
      <c r="I49" s="970"/>
      <c r="J49" s="974"/>
    </row>
    <row r="50" spans="3:10" ht="15.75">
      <c r="C50" s="963"/>
      <c r="D50" s="967"/>
      <c r="E50" s="968"/>
      <c r="F50" s="969"/>
      <c r="G50" s="970"/>
      <c r="H50" s="971"/>
      <c r="I50" s="970"/>
      <c r="J50" s="974"/>
    </row>
    <row r="51" spans="3:10" ht="15.75">
      <c r="C51" s="963"/>
      <c r="D51" s="967"/>
      <c r="E51" s="968"/>
      <c r="F51" s="969"/>
      <c r="G51" s="970"/>
      <c r="H51" s="971"/>
      <c r="I51" s="970"/>
      <c r="J51" s="974"/>
    </row>
    <row r="52" spans="3:10" ht="15.75">
      <c r="C52" s="963"/>
      <c r="D52" s="967"/>
      <c r="E52" s="968"/>
      <c r="F52" s="969"/>
      <c r="G52" s="970"/>
      <c r="H52" s="971"/>
      <c r="I52" s="970"/>
      <c r="J52" s="974"/>
    </row>
    <row r="53" spans="3:10" ht="15.75">
      <c r="C53" s="963"/>
      <c r="D53" s="967"/>
      <c r="E53" s="968"/>
      <c r="F53" s="969"/>
      <c r="G53" s="970"/>
      <c r="H53" s="971"/>
      <c r="I53" s="970"/>
      <c r="J53" s="974"/>
    </row>
    <row r="54" spans="3:10" ht="15.75">
      <c r="C54" s="963"/>
      <c r="D54" s="967"/>
      <c r="E54" s="968"/>
      <c r="F54" s="969"/>
      <c r="G54" s="970"/>
      <c r="H54" s="971"/>
      <c r="I54" s="970"/>
      <c r="J54" s="974"/>
    </row>
    <row r="55" spans="3:10" ht="15.75">
      <c r="C55" s="963"/>
      <c r="D55" s="967"/>
      <c r="E55" s="968"/>
      <c r="F55" s="969"/>
      <c r="G55" s="970"/>
      <c r="H55" s="971"/>
      <c r="I55" s="970"/>
      <c r="J55" s="974"/>
    </row>
    <row r="56" spans="3:10" ht="15.75">
      <c r="C56" s="963"/>
      <c r="D56" s="967"/>
      <c r="E56" s="968"/>
      <c r="F56" s="969"/>
      <c r="G56" s="970"/>
      <c r="H56" s="971"/>
      <c r="I56" s="970"/>
      <c r="J56" s="974"/>
    </row>
    <row r="57" spans="3:10" ht="15.75">
      <c r="C57" s="963"/>
      <c r="D57" s="967"/>
      <c r="E57" s="968"/>
      <c r="F57" s="969"/>
      <c r="G57" s="970"/>
      <c r="H57" s="971"/>
      <c r="I57" s="970"/>
      <c r="J57" s="974"/>
    </row>
    <row r="58" spans="3:10" ht="15.75">
      <c r="C58" s="963"/>
      <c r="D58" s="967"/>
      <c r="E58" s="968"/>
      <c r="F58" s="969"/>
      <c r="G58" s="970"/>
      <c r="H58" s="971"/>
      <c r="I58" s="970"/>
      <c r="J58" s="974"/>
    </row>
    <row r="59" spans="3:10" ht="15.75">
      <c r="C59" s="963"/>
      <c r="D59" s="967"/>
      <c r="E59" s="968"/>
      <c r="F59" s="969"/>
      <c r="G59" s="970"/>
      <c r="H59" s="971"/>
      <c r="I59" s="970"/>
      <c r="J59" s="974"/>
    </row>
    <row r="60" spans="3:10" ht="15.75">
      <c r="C60" s="963"/>
      <c r="D60" s="967"/>
      <c r="E60" s="968"/>
      <c r="F60" s="969"/>
      <c r="G60" s="970"/>
      <c r="H60" s="971"/>
      <c r="I60" s="970"/>
      <c r="J60" s="974"/>
    </row>
    <row r="61" spans="3:10" ht="15.75">
      <c r="C61" s="963"/>
      <c r="D61" s="967"/>
      <c r="E61" s="968"/>
      <c r="F61" s="969"/>
      <c r="G61" s="970"/>
      <c r="H61" s="971"/>
      <c r="I61" s="970"/>
      <c r="J61" s="974"/>
    </row>
    <row r="62" spans="3:10" ht="15.75">
      <c r="C62" s="963"/>
      <c r="D62" s="967"/>
      <c r="E62" s="968"/>
      <c r="F62" s="969"/>
      <c r="G62" s="970"/>
      <c r="H62" s="971"/>
      <c r="I62" s="970"/>
      <c r="J62" s="974"/>
    </row>
    <row r="63" spans="3:10" ht="15.75">
      <c r="C63" s="963"/>
      <c r="D63" s="967"/>
      <c r="E63" s="968"/>
      <c r="F63" s="969"/>
      <c r="G63" s="970"/>
      <c r="H63" s="971"/>
      <c r="I63" s="970"/>
      <c r="J63" s="974"/>
    </row>
    <row r="64" spans="3:10" ht="15.75">
      <c r="C64" s="963"/>
      <c r="D64" s="967"/>
      <c r="E64" s="968"/>
      <c r="F64" s="969"/>
      <c r="G64" s="970"/>
      <c r="H64" s="971"/>
      <c r="I64" s="970"/>
      <c r="J64" s="974"/>
    </row>
    <row r="65" spans="3:10" ht="15.75">
      <c r="C65" s="963"/>
      <c r="D65" s="967"/>
      <c r="E65" s="968"/>
      <c r="F65" s="969"/>
      <c r="G65" s="970"/>
      <c r="H65" s="971"/>
      <c r="I65" s="970"/>
      <c r="J65" s="974"/>
    </row>
    <row r="66" spans="3:10" ht="15.75">
      <c r="C66" s="963"/>
      <c r="D66" s="967"/>
      <c r="E66" s="968"/>
      <c r="F66" s="969"/>
      <c r="G66" s="970"/>
      <c r="H66" s="971"/>
      <c r="I66" s="970"/>
      <c r="J66" s="974"/>
    </row>
    <row r="67" spans="3:10" ht="15.75">
      <c r="C67" s="963"/>
      <c r="D67" s="967"/>
      <c r="E67" s="968"/>
      <c r="F67" s="969"/>
      <c r="G67" s="970"/>
      <c r="H67" s="971"/>
      <c r="I67" s="970"/>
      <c r="J67" s="974"/>
    </row>
    <row r="68" spans="3:10" ht="15.75">
      <c r="C68" s="963"/>
      <c r="D68" s="967"/>
      <c r="E68" s="968"/>
      <c r="F68" s="969"/>
      <c r="G68" s="970"/>
      <c r="H68" s="971"/>
      <c r="I68" s="970"/>
      <c r="J68" s="974"/>
    </row>
    <row r="69" spans="3:10" ht="15.75">
      <c r="C69" s="963"/>
      <c r="D69" s="967"/>
      <c r="E69" s="968"/>
      <c r="F69" s="969"/>
      <c r="G69" s="970"/>
      <c r="H69" s="971"/>
      <c r="I69" s="970"/>
      <c r="J69" s="974"/>
    </row>
    <row r="70" spans="3:10" ht="15.75">
      <c r="C70" s="963"/>
      <c r="D70" s="967"/>
      <c r="E70" s="968"/>
      <c r="F70" s="969"/>
      <c r="G70" s="970"/>
      <c r="H70" s="971"/>
      <c r="I70" s="970"/>
      <c r="J70" s="974"/>
    </row>
    <row r="71" spans="3:10" ht="15.75">
      <c r="C71" s="963"/>
      <c r="D71" s="967"/>
      <c r="E71" s="968"/>
      <c r="F71" s="969"/>
      <c r="G71" s="970"/>
      <c r="H71" s="971"/>
      <c r="I71" s="970"/>
      <c r="J71" s="974"/>
    </row>
    <row r="72" spans="3:10" ht="15.75">
      <c r="C72" s="963"/>
      <c r="D72" s="967"/>
      <c r="E72" s="968"/>
      <c r="F72" s="969"/>
      <c r="G72" s="970"/>
      <c r="H72" s="971"/>
      <c r="I72" s="970"/>
      <c r="J72" s="974"/>
    </row>
    <row r="73" spans="3:10" ht="15.75">
      <c r="C73" s="963"/>
      <c r="D73" s="967"/>
      <c r="E73" s="968"/>
      <c r="F73" s="969"/>
      <c r="G73" s="970"/>
      <c r="H73" s="971"/>
      <c r="I73" s="970"/>
      <c r="J73" s="974"/>
    </row>
    <row r="74" spans="3:10" ht="15.75">
      <c r="C74" s="963"/>
      <c r="D74" s="967"/>
      <c r="E74" s="968"/>
      <c r="F74" s="969"/>
      <c r="G74" s="970"/>
      <c r="H74" s="971"/>
      <c r="I74" s="970"/>
      <c r="J74" s="974"/>
    </row>
    <row r="75" spans="3:10" ht="15.75">
      <c r="C75" s="963"/>
      <c r="D75" s="967"/>
      <c r="E75" s="968"/>
      <c r="F75" s="969"/>
      <c r="G75" s="970"/>
      <c r="H75" s="971"/>
      <c r="I75" s="970"/>
      <c r="J75" s="974"/>
    </row>
    <row r="76" spans="3:10" ht="15.75">
      <c r="C76" s="963"/>
      <c r="D76" s="967"/>
      <c r="E76" s="968"/>
      <c r="F76" s="969"/>
      <c r="G76" s="970"/>
      <c r="H76" s="971"/>
      <c r="I76" s="970"/>
      <c r="J76" s="974"/>
    </row>
    <row r="77" spans="3:10" ht="15.75">
      <c r="C77" s="963"/>
      <c r="D77" s="967"/>
      <c r="E77" s="968"/>
      <c r="F77" s="969"/>
      <c r="G77" s="970"/>
      <c r="H77" s="971"/>
      <c r="I77" s="970"/>
      <c r="J77" s="974"/>
    </row>
    <row r="78" spans="3:10" ht="15.75">
      <c r="C78" s="963"/>
      <c r="D78" s="967"/>
      <c r="E78" s="968"/>
      <c r="F78" s="969"/>
      <c r="G78" s="970"/>
      <c r="H78" s="971"/>
      <c r="I78" s="970"/>
      <c r="J78" s="974"/>
    </row>
    <row r="79" spans="3:10" ht="15.75">
      <c r="C79" s="963"/>
      <c r="D79" s="967"/>
      <c r="E79" s="968"/>
      <c r="F79" s="969"/>
      <c r="G79" s="970"/>
      <c r="H79" s="971"/>
      <c r="I79" s="970"/>
      <c r="J79" s="974"/>
    </row>
    <row r="80" spans="3:10" ht="15.75">
      <c r="C80" s="963"/>
      <c r="D80" s="967"/>
      <c r="E80" s="968"/>
      <c r="F80" s="969"/>
      <c r="G80" s="970"/>
      <c r="H80" s="971"/>
      <c r="I80" s="970"/>
      <c r="J80" s="974"/>
    </row>
    <row r="81" spans="3:10" ht="15.75">
      <c r="C81" s="963"/>
      <c r="D81" s="967"/>
      <c r="E81" s="968"/>
      <c r="F81" s="969"/>
      <c r="G81" s="970"/>
      <c r="H81" s="971"/>
      <c r="I81" s="970"/>
      <c r="J81" s="974"/>
    </row>
    <row r="82" spans="3:10" ht="15.75">
      <c r="C82" s="963"/>
      <c r="D82" s="967"/>
      <c r="E82" s="968"/>
      <c r="F82" s="969"/>
      <c r="G82" s="970"/>
      <c r="H82" s="971"/>
      <c r="I82" s="970"/>
      <c r="J82" s="974"/>
    </row>
    <row r="83" spans="3:10" ht="15.75">
      <c r="C83" s="963"/>
      <c r="D83" s="967"/>
      <c r="E83" s="968"/>
      <c r="F83" s="969"/>
      <c r="G83" s="970"/>
      <c r="H83" s="971"/>
      <c r="I83" s="970"/>
      <c r="J83" s="974"/>
    </row>
    <row r="84" spans="3:10" ht="15.75">
      <c r="C84" s="963"/>
      <c r="D84" s="967"/>
      <c r="E84" s="968"/>
      <c r="F84" s="969"/>
      <c r="G84" s="970"/>
      <c r="H84" s="971"/>
      <c r="I84" s="970"/>
      <c r="J84" s="974"/>
    </row>
    <row r="85" spans="3:10" ht="15.75">
      <c r="C85" s="963"/>
      <c r="D85" s="967"/>
      <c r="E85" s="968"/>
      <c r="F85" s="969"/>
      <c r="G85" s="970"/>
      <c r="H85" s="971"/>
      <c r="I85" s="970"/>
      <c r="J85" s="974"/>
    </row>
    <row r="86" spans="3:10" ht="15.75">
      <c r="C86" s="963"/>
      <c r="D86" s="967"/>
      <c r="E86" s="968"/>
      <c r="F86" s="969"/>
      <c r="G86" s="970"/>
      <c r="H86" s="971"/>
      <c r="I86" s="970"/>
      <c r="J86" s="974"/>
    </row>
    <row r="87" spans="3:10" ht="15.75">
      <c r="C87" s="963"/>
      <c r="D87" s="967"/>
      <c r="E87" s="968"/>
      <c r="F87" s="969"/>
      <c r="G87" s="970"/>
      <c r="H87" s="971"/>
      <c r="I87" s="970"/>
      <c r="J87" s="974"/>
    </row>
    <row r="88" spans="3:10" ht="15.75">
      <c r="C88" s="963"/>
      <c r="D88" s="967"/>
      <c r="E88" s="968"/>
      <c r="F88" s="969"/>
      <c r="G88" s="970"/>
      <c r="H88" s="971"/>
      <c r="I88" s="970"/>
      <c r="J88" s="974"/>
    </row>
    <row r="89" spans="3:10" ht="15.75">
      <c r="C89" s="963"/>
      <c r="D89" s="967"/>
      <c r="E89" s="968"/>
      <c r="F89" s="969"/>
      <c r="G89" s="970"/>
      <c r="H89" s="971"/>
      <c r="I89" s="970"/>
      <c r="J89" s="974"/>
    </row>
    <row r="90" spans="3:10" ht="15.75">
      <c r="C90" s="963"/>
      <c r="D90" s="967"/>
      <c r="E90" s="968"/>
      <c r="F90" s="969"/>
      <c r="G90" s="970"/>
      <c r="H90" s="971"/>
      <c r="I90" s="970"/>
      <c r="J90" s="974"/>
    </row>
    <row r="91" spans="3:10" ht="15.75">
      <c r="C91" s="963"/>
      <c r="D91" s="967"/>
      <c r="E91" s="968"/>
      <c r="F91" s="969"/>
      <c r="G91" s="970"/>
      <c r="H91" s="971"/>
      <c r="I91" s="970"/>
      <c r="J91" s="974"/>
    </row>
    <row r="92" spans="3:10" ht="15.75">
      <c r="C92" s="963"/>
      <c r="D92" s="967"/>
      <c r="E92" s="968"/>
      <c r="F92" s="969"/>
      <c r="G92" s="970"/>
      <c r="H92" s="971"/>
      <c r="I92" s="970"/>
      <c r="J92" s="974"/>
    </row>
    <row r="93" spans="3:10" ht="15.75">
      <c r="C93" s="963"/>
      <c r="D93" s="967"/>
      <c r="E93" s="968"/>
      <c r="F93" s="969"/>
      <c r="G93" s="970"/>
      <c r="H93" s="971"/>
      <c r="I93" s="970"/>
      <c r="J93" s="974"/>
    </row>
    <row r="94" spans="3:10" ht="15.75">
      <c r="C94" s="963"/>
      <c r="D94" s="967"/>
      <c r="E94" s="968"/>
      <c r="F94" s="969"/>
      <c r="G94" s="970"/>
      <c r="H94" s="971"/>
      <c r="I94" s="970"/>
      <c r="J94" s="974"/>
    </row>
    <row r="95" spans="3:10" ht="15.75">
      <c r="C95" s="963"/>
      <c r="D95" s="967"/>
      <c r="E95" s="968"/>
      <c r="F95" s="969"/>
      <c r="G95" s="970"/>
      <c r="H95" s="971"/>
      <c r="I95" s="970"/>
      <c r="J95" s="974"/>
    </row>
    <row r="96" spans="3:10" ht="15.75">
      <c r="C96" s="963"/>
      <c r="D96" s="967"/>
      <c r="E96" s="968"/>
      <c r="F96" s="969"/>
      <c r="G96" s="970"/>
      <c r="H96" s="971"/>
      <c r="I96" s="970"/>
      <c r="J96" s="974"/>
    </row>
    <row r="97" spans="3:10" ht="15.75">
      <c r="C97" s="963"/>
      <c r="D97" s="967"/>
      <c r="E97" s="968"/>
      <c r="F97" s="969"/>
      <c r="G97" s="970"/>
      <c r="H97" s="971"/>
      <c r="I97" s="970"/>
      <c r="J97" s="974"/>
    </row>
    <row r="98" spans="3:10" ht="15.75">
      <c r="C98" s="963"/>
      <c r="D98" s="967"/>
      <c r="E98" s="968"/>
      <c r="F98" s="969"/>
      <c r="G98" s="970"/>
      <c r="H98" s="971"/>
      <c r="I98" s="970"/>
      <c r="J98" s="974"/>
    </row>
    <row r="99" spans="3:10" ht="15.75">
      <c r="C99" s="963"/>
      <c r="D99" s="967"/>
      <c r="E99" s="968"/>
      <c r="F99" s="969"/>
      <c r="G99" s="970"/>
      <c r="H99" s="971"/>
      <c r="I99" s="970"/>
      <c r="J99" s="974"/>
    </row>
    <row r="100" spans="3:10" ht="15.75">
      <c r="C100" s="963"/>
      <c r="D100" s="967"/>
      <c r="E100" s="968"/>
      <c r="F100" s="969"/>
      <c r="G100" s="970"/>
      <c r="H100" s="971"/>
      <c r="I100" s="970"/>
      <c r="J100" s="974"/>
    </row>
    <row r="101" spans="3:10" ht="15.75">
      <c r="C101" s="963"/>
      <c r="D101" s="967"/>
      <c r="E101" s="968"/>
      <c r="F101" s="969"/>
      <c r="G101" s="970"/>
      <c r="H101" s="971"/>
      <c r="I101" s="970"/>
      <c r="J101" s="974"/>
    </row>
    <row r="102" spans="3:10" ht="15.75">
      <c r="C102" s="963"/>
      <c r="D102" s="967"/>
      <c r="E102" s="968"/>
      <c r="F102" s="969"/>
      <c r="G102" s="970"/>
      <c r="H102" s="971"/>
      <c r="I102" s="970"/>
      <c r="J102" s="974"/>
    </row>
    <row r="103" spans="3:10" ht="15.75">
      <c r="C103" s="963"/>
      <c r="D103" s="967"/>
      <c r="E103" s="968"/>
      <c r="F103" s="969"/>
      <c r="G103" s="970"/>
      <c r="H103" s="971"/>
      <c r="I103" s="970"/>
      <c r="J103" s="974"/>
    </row>
    <row r="104" spans="3:10" ht="15.75">
      <c r="C104" s="963"/>
      <c r="D104" s="967"/>
      <c r="E104" s="968"/>
      <c r="F104" s="969"/>
      <c r="G104" s="970"/>
      <c r="H104" s="971"/>
      <c r="I104" s="970"/>
      <c r="J104" s="974"/>
    </row>
    <row r="105" spans="3:10" ht="15.75">
      <c r="C105" s="963"/>
      <c r="D105" s="967"/>
      <c r="E105" s="968"/>
      <c r="F105" s="969"/>
      <c r="G105" s="970"/>
      <c r="H105" s="971"/>
      <c r="I105" s="970"/>
      <c r="J105" s="974"/>
    </row>
    <row r="106" spans="3:10" ht="15.75">
      <c r="C106" s="963"/>
      <c r="D106" s="967"/>
      <c r="E106" s="968"/>
      <c r="F106" s="969"/>
      <c r="G106" s="970"/>
      <c r="H106" s="971"/>
      <c r="I106" s="970"/>
      <c r="J106" s="974"/>
    </row>
    <row r="107" spans="3:10" ht="15.75">
      <c r="C107" s="963"/>
      <c r="D107" s="967"/>
      <c r="E107" s="968"/>
      <c r="F107" s="969"/>
      <c r="G107" s="970"/>
      <c r="H107" s="971"/>
      <c r="I107" s="970"/>
      <c r="J107" s="974"/>
    </row>
    <row r="108" spans="3:10" ht="15.75">
      <c r="C108" s="963"/>
      <c r="D108" s="967"/>
      <c r="E108" s="968"/>
      <c r="F108" s="969"/>
      <c r="G108" s="970"/>
      <c r="H108" s="971"/>
      <c r="I108" s="970"/>
      <c r="J108" s="974"/>
    </row>
    <row r="109" spans="3:10" ht="15.75">
      <c r="C109" s="963"/>
      <c r="D109" s="967"/>
      <c r="E109" s="968"/>
      <c r="F109" s="969"/>
      <c r="G109" s="970"/>
      <c r="H109" s="971"/>
      <c r="I109" s="970"/>
      <c r="J109" s="974"/>
    </row>
    <row r="110" spans="3:10" ht="15.75">
      <c r="C110" s="963"/>
      <c r="D110" s="967"/>
      <c r="E110" s="968"/>
      <c r="F110" s="969"/>
      <c r="G110" s="970"/>
      <c r="H110" s="971"/>
      <c r="I110" s="970"/>
      <c r="J110" s="974"/>
    </row>
    <row r="111" spans="3:10" ht="15.75">
      <c r="C111" s="963"/>
      <c r="D111" s="967"/>
      <c r="E111" s="968"/>
      <c r="F111" s="969"/>
      <c r="G111" s="970"/>
      <c r="H111" s="971"/>
      <c r="I111" s="970"/>
      <c r="J111" s="974"/>
    </row>
    <row r="112" spans="3:10" ht="15.75">
      <c r="C112" s="963"/>
      <c r="D112" s="967"/>
      <c r="E112" s="968"/>
      <c r="F112" s="969"/>
      <c r="G112" s="970"/>
      <c r="H112" s="971"/>
      <c r="I112" s="970"/>
      <c r="J112" s="974"/>
    </row>
    <row r="113" spans="3:10" ht="15.75">
      <c r="C113" s="963"/>
      <c r="D113" s="967"/>
      <c r="E113" s="968"/>
      <c r="F113" s="969"/>
      <c r="G113" s="970"/>
      <c r="H113" s="971"/>
      <c r="I113" s="970"/>
      <c r="J113" s="974"/>
    </row>
    <row r="114" spans="3:10" ht="15.75">
      <c r="C114" s="963"/>
      <c r="D114" s="967"/>
      <c r="E114" s="968"/>
      <c r="F114" s="969"/>
      <c r="G114" s="970"/>
      <c r="H114" s="971"/>
      <c r="I114" s="970"/>
      <c r="J114" s="974"/>
    </row>
    <row r="115" spans="3:10" ht="15.75">
      <c r="C115" s="963"/>
      <c r="D115" s="967"/>
      <c r="E115" s="968"/>
      <c r="F115" s="969"/>
      <c r="G115" s="970"/>
      <c r="H115" s="971"/>
      <c r="I115" s="970"/>
      <c r="J115" s="974"/>
    </row>
    <row r="116" spans="3:10" ht="15.75">
      <c r="C116" s="963"/>
      <c r="D116" s="967"/>
      <c r="E116" s="968"/>
      <c r="F116" s="969"/>
      <c r="G116" s="970"/>
      <c r="H116" s="971"/>
      <c r="I116" s="970"/>
      <c r="J116" s="974"/>
    </row>
    <row r="117" spans="3:10" ht="15.75">
      <c r="C117" s="963"/>
      <c r="D117" s="967"/>
      <c r="E117" s="968"/>
      <c r="F117" s="969"/>
      <c r="G117" s="970"/>
      <c r="H117" s="971"/>
      <c r="I117" s="970"/>
      <c r="J117" s="974"/>
    </row>
    <row r="118" spans="3:10" ht="15.75">
      <c r="C118" s="963"/>
      <c r="D118" s="967"/>
      <c r="E118" s="968"/>
      <c r="F118" s="969"/>
      <c r="G118" s="970"/>
      <c r="H118" s="971"/>
      <c r="I118" s="970"/>
      <c r="J118" s="974"/>
    </row>
    <row r="119" spans="3:10" ht="15.75">
      <c r="C119" s="963"/>
      <c r="D119" s="967"/>
      <c r="E119" s="968"/>
      <c r="F119" s="969"/>
      <c r="G119" s="970"/>
      <c r="H119" s="971"/>
      <c r="I119" s="970"/>
      <c r="J119" s="974"/>
    </row>
    <row r="120" spans="3:10" ht="15.75">
      <c r="C120" s="963"/>
      <c r="D120" s="967"/>
      <c r="E120" s="968"/>
      <c r="F120" s="969"/>
      <c r="G120" s="970"/>
      <c r="H120" s="971"/>
      <c r="I120" s="970"/>
      <c r="J120" s="974"/>
    </row>
    <row r="121" spans="3:10" ht="15.75">
      <c r="C121" s="963"/>
      <c r="D121" s="967"/>
      <c r="E121" s="968"/>
      <c r="F121" s="969"/>
      <c r="G121" s="970"/>
      <c r="H121" s="971"/>
      <c r="I121" s="970"/>
      <c r="J121" s="974"/>
    </row>
    <row r="122" spans="3:10" ht="15.75">
      <c r="C122" s="963"/>
      <c r="D122" s="967"/>
      <c r="E122" s="968"/>
      <c r="F122" s="969"/>
      <c r="G122" s="970"/>
      <c r="H122" s="971"/>
      <c r="I122" s="970"/>
      <c r="J122" s="974"/>
    </row>
    <row r="123" spans="3:10" ht="15.75">
      <c r="C123" s="963"/>
      <c r="D123" s="967"/>
      <c r="E123" s="968"/>
      <c r="F123" s="969"/>
      <c r="G123" s="970"/>
      <c r="H123" s="971"/>
      <c r="I123" s="970"/>
      <c r="J123" s="974"/>
    </row>
    <row r="124" spans="3:10" ht="15.75">
      <c r="C124" s="963"/>
      <c r="D124" s="967"/>
      <c r="E124" s="968"/>
      <c r="F124" s="969"/>
      <c r="G124" s="970"/>
      <c r="H124" s="971"/>
      <c r="I124" s="970"/>
      <c r="J124" s="974"/>
    </row>
    <row r="125" spans="3:10" ht="15.75">
      <c r="C125" s="963"/>
      <c r="D125" s="967"/>
      <c r="E125" s="968"/>
      <c r="F125" s="969"/>
      <c r="G125" s="970"/>
      <c r="H125" s="971"/>
      <c r="I125" s="970"/>
      <c r="J125" s="974"/>
    </row>
    <row r="126" spans="3:10" ht="15.75">
      <c r="C126" s="963"/>
      <c r="D126" s="967"/>
      <c r="E126" s="968"/>
      <c r="F126" s="969"/>
      <c r="G126" s="970"/>
      <c r="H126" s="971"/>
      <c r="I126" s="970"/>
      <c r="J126" s="974"/>
    </row>
    <row r="127" spans="3:10" ht="15.75">
      <c r="C127" s="963"/>
      <c r="D127" s="967"/>
      <c r="E127" s="968"/>
      <c r="F127" s="969"/>
      <c r="G127" s="970"/>
      <c r="H127" s="971"/>
      <c r="I127" s="970"/>
      <c r="J127" s="974"/>
    </row>
    <row r="128" spans="3:10" ht="15.75">
      <c r="C128" s="963"/>
      <c r="D128" s="967"/>
      <c r="E128" s="968"/>
      <c r="F128" s="969"/>
      <c r="G128" s="970"/>
      <c r="H128" s="971"/>
      <c r="I128" s="970"/>
      <c r="J128" s="974"/>
    </row>
    <row r="129" spans="3:10" ht="15.75">
      <c r="C129" s="963"/>
      <c r="D129" s="967"/>
      <c r="E129" s="968"/>
      <c r="F129" s="969"/>
      <c r="G129" s="970"/>
      <c r="H129" s="971"/>
      <c r="I129" s="970"/>
      <c r="J129" s="974"/>
    </row>
    <row r="130" spans="3:10" ht="15.75">
      <c r="C130" s="963"/>
      <c r="D130" s="967"/>
      <c r="E130" s="968"/>
      <c r="F130" s="969"/>
      <c r="G130" s="970"/>
      <c r="H130" s="971"/>
      <c r="I130" s="970"/>
      <c r="J130" s="974"/>
    </row>
    <row r="131" spans="3:10" ht="15.75">
      <c r="C131" s="963"/>
      <c r="D131" s="967"/>
      <c r="E131" s="968"/>
      <c r="F131" s="969"/>
      <c r="G131" s="970"/>
      <c r="H131" s="971"/>
      <c r="I131" s="970"/>
      <c r="J131" s="974"/>
    </row>
    <row r="132" spans="3:10" ht="15.75">
      <c r="C132" s="963"/>
      <c r="D132" s="967"/>
      <c r="E132" s="968"/>
      <c r="F132" s="969"/>
      <c r="G132" s="970"/>
      <c r="H132" s="971"/>
      <c r="I132" s="970"/>
      <c r="J132" s="974"/>
    </row>
    <row r="133" spans="3:10" ht="15.75">
      <c r="C133" s="963"/>
      <c r="D133" s="967"/>
      <c r="E133" s="968"/>
      <c r="F133" s="969"/>
      <c r="G133" s="970"/>
      <c r="H133" s="971"/>
      <c r="I133" s="970"/>
      <c r="J133" s="974"/>
    </row>
    <row r="134" spans="3:10" ht="15.75">
      <c r="C134" s="963"/>
      <c r="D134" s="967"/>
      <c r="E134" s="968"/>
      <c r="F134" s="969"/>
      <c r="G134" s="970"/>
      <c r="H134" s="971"/>
      <c r="I134" s="970"/>
      <c r="J134" s="974"/>
    </row>
    <row r="135" spans="3:10" ht="15.75">
      <c r="C135" s="963"/>
      <c r="D135" s="967"/>
      <c r="E135" s="968"/>
      <c r="F135" s="969"/>
      <c r="G135" s="970"/>
      <c r="H135" s="971"/>
      <c r="I135" s="970"/>
      <c r="J135" s="974"/>
    </row>
    <row r="136" spans="3:10" ht="15.75">
      <c r="C136" s="963"/>
      <c r="D136" s="967"/>
      <c r="E136" s="968"/>
      <c r="F136" s="969"/>
      <c r="G136" s="970"/>
      <c r="H136" s="971"/>
      <c r="I136" s="970"/>
      <c r="J136" s="974"/>
    </row>
    <row r="137" spans="3:10" ht="15.75">
      <c r="C137" s="963"/>
      <c r="D137" s="967"/>
      <c r="E137" s="968"/>
      <c r="F137" s="969"/>
      <c r="G137" s="970"/>
      <c r="H137" s="971"/>
      <c r="I137" s="970"/>
      <c r="J137" s="974"/>
    </row>
    <row r="138" spans="3:10" ht="15.75">
      <c r="C138" s="963"/>
      <c r="D138" s="967"/>
      <c r="E138" s="968"/>
      <c r="F138" s="969"/>
      <c r="G138" s="970"/>
      <c r="H138" s="971"/>
      <c r="I138" s="970"/>
      <c r="J138" s="974"/>
    </row>
    <row r="139" spans="3:10" ht="15.75">
      <c r="C139" s="963"/>
      <c r="D139" s="967"/>
      <c r="E139" s="968"/>
      <c r="F139" s="969"/>
      <c r="G139" s="970"/>
      <c r="H139" s="971"/>
      <c r="I139" s="970"/>
      <c r="J139" s="974"/>
    </row>
    <row r="140" spans="3:10" ht="15.75">
      <c r="C140" s="963"/>
      <c r="D140" s="967"/>
      <c r="E140" s="968"/>
      <c r="F140" s="969"/>
      <c r="G140" s="970"/>
      <c r="H140" s="971"/>
      <c r="I140" s="970"/>
      <c r="J140" s="974"/>
    </row>
    <row r="141" spans="3:10" ht="15.75">
      <c r="C141" s="963"/>
      <c r="D141" s="967"/>
      <c r="E141" s="968"/>
      <c r="F141" s="969"/>
      <c r="G141" s="970"/>
      <c r="H141" s="971"/>
      <c r="I141" s="970"/>
      <c r="J141" s="974"/>
    </row>
    <row r="142" spans="3:10" ht="15.75">
      <c r="C142" s="963"/>
      <c r="D142" s="967"/>
      <c r="E142" s="968"/>
      <c r="F142" s="969"/>
      <c r="G142" s="970"/>
      <c r="H142" s="971"/>
      <c r="I142" s="970"/>
      <c r="J142" s="974"/>
    </row>
    <row r="143" spans="3:10" ht="15.75">
      <c r="C143" s="963"/>
      <c r="D143" s="967"/>
      <c r="E143" s="968"/>
      <c r="F143" s="969"/>
      <c r="G143" s="970"/>
      <c r="H143" s="971"/>
      <c r="I143" s="970"/>
      <c r="J143" s="974"/>
    </row>
    <row r="144" spans="3:10" ht="15.75">
      <c r="C144" s="963"/>
      <c r="D144" s="967"/>
      <c r="E144" s="968"/>
      <c r="F144" s="969"/>
      <c r="G144" s="970"/>
      <c r="H144" s="971"/>
      <c r="I144" s="970"/>
      <c r="J144" s="974"/>
    </row>
    <row r="145" spans="3:10" ht="15.75">
      <c r="C145" s="963"/>
      <c r="D145" s="967"/>
      <c r="E145" s="968"/>
      <c r="F145" s="969"/>
      <c r="G145" s="970"/>
      <c r="H145" s="971"/>
      <c r="I145" s="970"/>
      <c r="J145" s="974"/>
    </row>
    <row r="146" spans="3:10" ht="15.75">
      <c r="C146" s="963"/>
      <c r="D146" s="967"/>
      <c r="E146" s="968"/>
      <c r="F146" s="969"/>
      <c r="G146" s="970"/>
      <c r="H146" s="971"/>
      <c r="I146" s="970"/>
      <c r="J146" s="974"/>
    </row>
    <row r="147" spans="3:10" ht="15.75">
      <c r="C147" s="963"/>
      <c r="D147" s="967"/>
      <c r="E147" s="968"/>
      <c r="F147" s="969"/>
      <c r="G147" s="970"/>
      <c r="H147" s="971"/>
      <c r="I147" s="970"/>
      <c r="J147" s="974"/>
    </row>
    <row r="148" spans="3:10" ht="15.75">
      <c r="C148" s="963"/>
      <c r="D148" s="967"/>
      <c r="E148" s="968"/>
      <c r="F148" s="969"/>
      <c r="G148" s="970"/>
      <c r="H148" s="971"/>
      <c r="I148" s="970"/>
      <c r="J148" s="974"/>
    </row>
    <row r="149" spans="3:10" ht="15.75">
      <c r="C149" s="963"/>
      <c r="D149" s="967"/>
      <c r="E149" s="968"/>
      <c r="F149" s="969"/>
      <c r="G149" s="970"/>
      <c r="H149" s="971"/>
      <c r="I149" s="970"/>
      <c r="J149" s="974"/>
    </row>
    <row r="150" spans="3:10" ht="15.75">
      <c r="C150" s="963"/>
      <c r="D150" s="967"/>
      <c r="E150" s="968"/>
      <c r="F150" s="969"/>
      <c r="G150" s="970"/>
      <c r="H150" s="971"/>
      <c r="I150" s="970"/>
      <c r="J150" s="974"/>
    </row>
    <row r="151" spans="3:10" ht="15.75">
      <c r="C151" s="963"/>
      <c r="D151" s="967"/>
      <c r="E151" s="968"/>
      <c r="F151" s="969"/>
      <c r="G151" s="970"/>
      <c r="H151" s="971"/>
      <c r="I151" s="970"/>
      <c r="J151" s="974"/>
    </row>
    <row r="152" spans="3:10" ht="15.75">
      <c r="C152" s="963"/>
      <c r="D152" s="967"/>
      <c r="E152" s="968"/>
      <c r="F152" s="969"/>
      <c r="G152" s="970"/>
      <c r="H152" s="971"/>
      <c r="I152" s="970"/>
      <c r="J152" s="974"/>
    </row>
    <row r="153" spans="3:10" ht="15.75">
      <c r="C153" s="963"/>
      <c r="D153" s="967"/>
      <c r="E153" s="968"/>
      <c r="F153" s="969"/>
      <c r="G153" s="970"/>
      <c r="H153" s="971"/>
      <c r="I153" s="970"/>
      <c r="J153" s="974"/>
    </row>
    <row r="154" spans="3:10" ht="15.75">
      <c r="C154" s="963"/>
      <c r="D154" s="967"/>
      <c r="E154" s="968"/>
      <c r="F154" s="969"/>
      <c r="G154" s="970"/>
      <c r="H154" s="971"/>
      <c r="I154" s="970"/>
      <c r="J154" s="974"/>
    </row>
    <row r="155" spans="3:10" ht="15.75">
      <c r="C155" s="963"/>
      <c r="D155" s="967"/>
      <c r="E155" s="968"/>
      <c r="F155" s="969"/>
      <c r="G155" s="970"/>
      <c r="H155" s="971"/>
      <c r="I155" s="970"/>
      <c r="J155" s="974"/>
    </row>
    <row r="156" spans="3:10" ht="15.75">
      <c r="C156" s="963"/>
      <c r="D156" s="967"/>
      <c r="E156" s="968"/>
      <c r="F156" s="969"/>
      <c r="G156" s="970"/>
      <c r="H156" s="971"/>
      <c r="I156" s="970"/>
      <c r="J156" s="974"/>
    </row>
    <row r="157" spans="3:10" ht="15.75">
      <c r="C157" s="963"/>
      <c r="D157" s="967"/>
      <c r="E157" s="968"/>
      <c r="F157" s="969"/>
      <c r="G157" s="970"/>
      <c r="H157" s="971"/>
      <c r="I157" s="970"/>
      <c r="J157" s="974"/>
    </row>
    <row r="158" spans="3:10" ht="15.75">
      <c r="C158" s="963"/>
      <c r="D158" s="967"/>
      <c r="E158" s="968"/>
      <c r="F158" s="969"/>
      <c r="G158" s="970"/>
      <c r="H158" s="971"/>
      <c r="I158" s="970"/>
      <c r="J158" s="974"/>
    </row>
    <row r="159" spans="3:10" ht="15.75">
      <c r="C159" s="963"/>
      <c r="D159" s="967"/>
      <c r="E159" s="968"/>
      <c r="F159" s="969"/>
      <c r="G159" s="970"/>
      <c r="H159" s="971"/>
      <c r="I159" s="970"/>
      <c r="J159" s="974"/>
    </row>
    <row r="160" spans="3:10" ht="15.75">
      <c r="C160" s="963"/>
      <c r="D160" s="967"/>
      <c r="E160" s="968"/>
      <c r="F160" s="969"/>
      <c r="G160" s="970"/>
      <c r="H160" s="971"/>
      <c r="I160" s="970"/>
      <c r="J160" s="974"/>
    </row>
    <row r="161" spans="3:10" ht="15.75">
      <c r="C161" s="963"/>
      <c r="D161" s="967"/>
      <c r="E161" s="968"/>
      <c r="F161" s="969"/>
      <c r="G161" s="970"/>
      <c r="H161" s="971"/>
      <c r="I161" s="970"/>
      <c r="J161" s="974"/>
    </row>
    <row r="162" spans="3:10" ht="15.75">
      <c r="C162" s="963"/>
      <c r="D162" s="967"/>
      <c r="E162" s="968"/>
      <c r="F162" s="969"/>
      <c r="G162" s="970"/>
      <c r="H162" s="971"/>
      <c r="I162" s="970"/>
      <c r="J162" s="974"/>
    </row>
    <row r="163" spans="3:10" ht="15.75">
      <c r="C163" s="963"/>
      <c r="D163" s="967"/>
      <c r="E163" s="968"/>
      <c r="F163" s="969"/>
      <c r="G163" s="970"/>
      <c r="H163" s="971"/>
      <c r="I163" s="970"/>
      <c r="J163" s="974"/>
    </row>
    <row r="164" spans="3:10" ht="15.75">
      <c r="C164" s="963"/>
      <c r="D164" s="967"/>
      <c r="E164" s="968"/>
      <c r="F164" s="969"/>
      <c r="G164" s="970"/>
      <c r="H164" s="971"/>
      <c r="I164" s="970"/>
      <c r="J164" s="974"/>
    </row>
    <row r="165" spans="3:10" ht="15.75">
      <c r="C165" s="963"/>
      <c r="D165" s="967"/>
      <c r="E165" s="968"/>
      <c r="F165" s="969"/>
      <c r="G165" s="970"/>
      <c r="H165" s="971"/>
      <c r="I165" s="970"/>
      <c r="J165" s="974"/>
    </row>
    <row r="166" spans="3:10" ht="15.75">
      <c r="C166" s="963"/>
      <c r="D166" s="967"/>
      <c r="E166" s="968"/>
      <c r="F166" s="969"/>
      <c r="G166" s="970"/>
      <c r="H166" s="971"/>
      <c r="I166" s="970"/>
      <c r="J166" s="974"/>
    </row>
    <row r="167" spans="3:10" ht="15.75">
      <c r="C167" s="963"/>
      <c r="D167" s="967"/>
      <c r="E167" s="968"/>
      <c r="F167" s="969"/>
      <c r="G167" s="970"/>
      <c r="H167" s="971"/>
      <c r="I167" s="970"/>
      <c r="J167" s="974"/>
    </row>
    <row r="168" spans="3:10" ht="15.75">
      <c r="C168" s="963"/>
      <c r="D168" s="967"/>
      <c r="E168" s="968"/>
      <c r="F168" s="969"/>
      <c r="G168" s="970"/>
      <c r="H168" s="971"/>
      <c r="I168" s="970"/>
      <c r="J168" s="974"/>
    </row>
    <row r="169" spans="3:10" ht="15.75">
      <c r="C169" s="963"/>
      <c r="D169" s="967"/>
      <c r="E169" s="968"/>
      <c r="F169" s="969"/>
      <c r="G169" s="970"/>
      <c r="H169" s="971"/>
      <c r="I169" s="970"/>
      <c r="J169" s="974"/>
    </row>
    <row r="170" spans="3:10" ht="15.75">
      <c r="C170" s="963"/>
      <c r="D170" s="967"/>
      <c r="E170" s="968"/>
      <c r="F170" s="969"/>
      <c r="G170" s="970"/>
      <c r="H170" s="971"/>
      <c r="I170" s="970"/>
      <c r="J170" s="974"/>
    </row>
    <row r="171" spans="3:10" ht="15.75">
      <c r="C171" s="963"/>
      <c r="D171" s="967"/>
      <c r="E171" s="968"/>
      <c r="F171" s="969"/>
      <c r="G171" s="970"/>
      <c r="H171" s="971"/>
      <c r="I171" s="970"/>
      <c r="J171" s="974"/>
    </row>
    <row r="172" spans="3:10" ht="15.75">
      <c r="C172" s="963"/>
      <c r="D172" s="967"/>
      <c r="E172" s="968"/>
      <c r="F172" s="969"/>
      <c r="G172" s="970"/>
      <c r="H172" s="971"/>
      <c r="I172" s="970"/>
      <c r="J172" s="974"/>
    </row>
    <row r="173" spans="3:10" ht="15.75">
      <c r="C173" s="963"/>
      <c r="D173" s="967"/>
      <c r="E173" s="968"/>
      <c r="F173" s="969"/>
      <c r="G173" s="970"/>
      <c r="H173" s="971"/>
      <c r="I173" s="970"/>
      <c r="J173" s="974"/>
    </row>
    <row r="174" spans="3:10" ht="15.75">
      <c r="C174" s="963"/>
      <c r="D174" s="967"/>
      <c r="E174" s="968"/>
      <c r="F174" s="969"/>
      <c r="G174" s="970"/>
      <c r="H174" s="971"/>
      <c r="I174" s="970"/>
      <c r="J174" s="974"/>
    </row>
    <row r="175" spans="3:10" ht="15.75">
      <c r="C175" s="963"/>
      <c r="D175" s="967"/>
      <c r="E175" s="968"/>
      <c r="F175" s="969"/>
      <c r="G175" s="970"/>
      <c r="H175" s="971"/>
      <c r="I175" s="970"/>
      <c r="J175" s="974"/>
    </row>
    <row r="176" spans="3:10" ht="15.75">
      <c r="C176" s="963"/>
      <c r="D176" s="967"/>
      <c r="E176" s="968"/>
      <c r="F176" s="969"/>
      <c r="G176" s="970"/>
      <c r="H176" s="971"/>
      <c r="I176" s="970"/>
      <c r="J176" s="974"/>
    </row>
    <row r="177" spans="3:10" ht="15.75">
      <c r="C177" s="963"/>
      <c r="D177" s="967"/>
      <c r="E177" s="968"/>
      <c r="F177" s="969"/>
      <c r="G177" s="970"/>
      <c r="H177" s="971"/>
      <c r="I177" s="970"/>
      <c r="J177" s="974"/>
    </row>
    <row r="178" spans="3:10" ht="15.75">
      <c r="C178" s="963"/>
      <c r="D178" s="967"/>
      <c r="E178" s="968"/>
      <c r="F178" s="969"/>
      <c r="G178" s="970"/>
      <c r="H178" s="971"/>
      <c r="I178" s="970"/>
      <c r="J178" s="974"/>
    </row>
    <row r="179" spans="3:10" ht="15.75">
      <c r="C179" s="963"/>
      <c r="D179" s="967"/>
      <c r="E179" s="968"/>
      <c r="F179" s="969"/>
      <c r="G179" s="970"/>
      <c r="H179" s="971"/>
      <c r="I179" s="970"/>
      <c r="J179" s="974"/>
    </row>
    <row r="180" spans="3:10" ht="15.75">
      <c r="C180" s="963"/>
      <c r="D180" s="967"/>
      <c r="E180" s="968"/>
      <c r="F180" s="969"/>
      <c r="G180" s="970"/>
      <c r="H180" s="971"/>
      <c r="I180" s="970"/>
      <c r="J180" s="974"/>
    </row>
    <row r="181" spans="3:10" ht="15.75">
      <c r="C181" s="963"/>
      <c r="D181" s="967"/>
      <c r="E181" s="968"/>
      <c r="F181" s="969"/>
      <c r="G181" s="970"/>
      <c r="H181" s="971"/>
      <c r="I181" s="970"/>
      <c r="J181" s="974"/>
    </row>
    <row r="182" spans="3:10" ht="15.75">
      <c r="C182" s="963"/>
      <c r="D182" s="967"/>
      <c r="E182" s="968"/>
      <c r="F182" s="969"/>
      <c r="G182" s="970"/>
      <c r="H182" s="971"/>
      <c r="I182" s="970"/>
      <c r="J182" s="974"/>
    </row>
    <row r="183" spans="3:10" ht="15.75">
      <c r="C183" s="963"/>
      <c r="D183" s="967"/>
      <c r="E183" s="968"/>
      <c r="F183" s="969"/>
      <c r="G183" s="970"/>
      <c r="H183" s="971"/>
      <c r="I183" s="970"/>
      <c r="J183" s="974"/>
    </row>
    <row r="184" spans="3:10" ht="15.75">
      <c r="C184" s="963"/>
      <c r="D184" s="967"/>
      <c r="E184" s="968"/>
      <c r="F184" s="969"/>
      <c r="G184" s="970"/>
      <c r="H184" s="971"/>
      <c r="I184" s="970"/>
      <c r="J184" s="974"/>
    </row>
    <row r="185" spans="3:10" ht="15.75">
      <c r="C185" s="963"/>
      <c r="D185" s="967"/>
      <c r="E185" s="968"/>
      <c r="F185" s="969"/>
      <c r="G185" s="970"/>
      <c r="H185" s="971"/>
      <c r="I185" s="970"/>
      <c r="J185" s="974"/>
    </row>
    <row r="186" spans="3:10" ht="15.75">
      <c r="C186" s="963"/>
      <c r="D186" s="967"/>
      <c r="E186" s="968"/>
      <c r="F186" s="969"/>
      <c r="G186" s="970"/>
      <c r="H186" s="971"/>
      <c r="I186" s="970"/>
      <c r="J186" s="974"/>
    </row>
    <row r="187" spans="3:10" ht="15.75">
      <c r="C187" s="963"/>
      <c r="D187" s="967"/>
      <c r="E187" s="968"/>
      <c r="F187" s="969"/>
      <c r="G187" s="970"/>
      <c r="H187" s="971"/>
      <c r="I187" s="970"/>
      <c r="J187" s="974"/>
    </row>
    <row r="188" spans="3:10" ht="15.75">
      <c r="C188" s="963"/>
      <c r="D188" s="967"/>
      <c r="E188" s="968"/>
      <c r="F188" s="969"/>
      <c r="G188" s="970"/>
      <c r="H188" s="971"/>
      <c r="I188" s="970"/>
      <c r="J188" s="974"/>
    </row>
    <row r="189" spans="3:10" ht="15.75">
      <c r="C189" s="963"/>
      <c r="D189" s="967"/>
      <c r="E189" s="968"/>
      <c r="F189" s="969"/>
      <c r="G189" s="970"/>
      <c r="H189" s="971"/>
      <c r="I189" s="970"/>
      <c r="J189" s="974"/>
    </row>
    <row r="190" spans="3:10" ht="15.75">
      <c r="C190" s="963"/>
      <c r="D190" s="967"/>
      <c r="E190" s="968"/>
      <c r="F190" s="969"/>
      <c r="G190" s="970"/>
      <c r="H190" s="971"/>
      <c r="I190" s="970"/>
      <c r="J190" s="974"/>
    </row>
    <row r="191" spans="3:10" ht="15.75">
      <c r="C191" s="963"/>
      <c r="D191" s="967"/>
      <c r="E191" s="968"/>
      <c r="F191" s="969"/>
      <c r="G191" s="970"/>
      <c r="H191" s="971"/>
      <c r="I191" s="970"/>
      <c r="J191" s="974"/>
    </row>
    <row r="192" spans="3:10" ht="15.75">
      <c r="C192" s="963"/>
      <c r="D192" s="967"/>
      <c r="E192" s="968"/>
      <c r="F192" s="969"/>
      <c r="G192" s="970"/>
      <c r="H192" s="971"/>
      <c r="I192" s="970"/>
      <c r="J192" s="974"/>
    </row>
    <row r="193" spans="3:10" ht="15.75">
      <c r="C193" s="963"/>
      <c r="D193" s="967"/>
      <c r="E193" s="968"/>
      <c r="F193" s="969"/>
      <c r="G193" s="970"/>
      <c r="H193" s="971"/>
      <c r="I193" s="970"/>
      <c r="J193" s="974"/>
    </row>
    <row r="194" spans="3:10" ht="15.75">
      <c r="C194" s="963"/>
      <c r="D194" s="967"/>
      <c r="E194" s="968"/>
      <c r="F194" s="969"/>
      <c r="G194" s="970"/>
      <c r="H194" s="971"/>
      <c r="I194" s="970"/>
      <c r="J194" s="974"/>
    </row>
    <row r="195" spans="3:10" ht="15.75">
      <c r="C195" s="963"/>
      <c r="D195" s="967"/>
      <c r="E195" s="968"/>
      <c r="F195" s="969"/>
      <c r="G195" s="970"/>
      <c r="H195" s="971"/>
      <c r="I195" s="970"/>
      <c r="J195" s="974"/>
    </row>
    <row r="196" spans="3:10" ht="15.75">
      <c r="C196" s="963"/>
      <c r="D196" s="967"/>
      <c r="E196" s="968"/>
      <c r="F196" s="969"/>
      <c r="G196" s="970"/>
      <c r="H196" s="971"/>
      <c r="I196" s="970"/>
      <c r="J196" s="974"/>
    </row>
    <row r="197" spans="3:10" ht="15.75">
      <c r="C197" s="963"/>
      <c r="D197" s="967"/>
      <c r="E197" s="968"/>
      <c r="F197" s="969"/>
      <c r="G197" s="970"/>
      <c r="H197" s="971"/>
      <c r="I197" s="970"/>
      <c r="J197" s="974"/>
    </row>
    <row r="198" spans="3:10" ht="15.75">
      <c r="C198" s="963"/>
      <c r="D198" s="967"/>
      <c r="E198" s="968"/>
      <c r="F198" s="969"/>
      <c r="G198" s="970"/>
      <c r="H198" s="971"/>
      <c r="I198" s="970"/>
      <c r="J198" s="974"/>
    </row>
    <row r="199" spans="3:10" ht="15.75">
      <c r="C199" s="963"/>
      <c r="D199" s="967"/>
      <c r="E199" s="968"/>
      <c r="F199" s="969"/>
      <c r="G199" s="970"/>
      <c r="H199" s="971"/>
      <c r="I199" s="970"/>
      <c r="J199" s="974"/>
    </row>
    <row r="200" spans="3:10" ht="15.75">
      <c r="C200" s="963"/>
      <c r="D200" s="967"/>
      <c r="E200" s="968"/>
      <c r="F200" s="969"/>
      <c r="G200" s="970"/>
      <c r="H200" s="971"/>
      <c r="I200" s="970"/>
      <c r="J200" s="974"/>
    </row>
    <row r="201" spans="3:10" ht="15.75">
      <c r="C201" s="963"/>
      <c r="D201" s="967"/>
      <c r="E201" s="968"/>
      <c r="F201" s="969"/>
      <c r="G201" s="970"/>
      <c r="H201" s="971"/>
      <c r="I201" s="970"/>
      <c r="J201" s="974"/>
    </row>
    <row r="202" spans="3:10" ht="15.75">
      <c r="C202" s="963"/>
      <c r="D202" s="967"/>
      <c r="E202" s="968"/>
      <c r="F202" s="969"/>
      <c r="G202" s="970"/>
      <c r="H202" s="971"/>
      <c r="I202" s="970"/>
      <c r="J202" s="974"/>
    </row>
    <row r="203" spans="3:10" ht="15.75">
      <c r="C203" s="963"/>
      <c r="D203" s="967"/>
      <c r="E203" s="968"/>
      <c r="F203" s="969"/>
      <c r="G203" s="970"/>
      <c r="H203" s="971"/>
      <c r="I203" s="970"/>
      <c r="J203" s="974"/>
    </row>
    <row r="204" spans="3:10" ht="15.75">
      <c r="C204" s="963"/>
      <c r="D204" s="967"/>
      <c r="E204" s="968"/>
      <c r="F204" s="969"/>
      <c r="G204" s="970"/>
      <c r="H204" s="971"/>
      <c r="I204" s="970"/>
      <c r="J204" s="974"/>
    </row>
    <row r="205" spans="3:10" ht="15.75">
      <c r="C205" s="963"/>
      <c r="D205" s="967"/>
      <c r="E205" s="968"/>
      <c r="F205" s="969"/>
      <c r="G205" s="970"/>
      <c r="H205" s="971"/>
      <c r="I205" s="970"/>
      <c r="J205" s="974"/>
    </row>
    <row r="206" spans="3:10" ht="15.75">
      <c r="C206" s="963"/>
      <c r="D206" s="967"/>
      <c r="E206" s="968"/>
      <c r="F206" s="969"/>
      <c r="G206" s="970"/>
      <c r="H206" s="971"/>
      <c r="I206" s="970"/>
      <c r="J206" s="974"/>
    </row>
    <row r="207" spans="3:10" ht="15.75">
      <c r="C207" s="963"/>
      <c r="D207" s="967"/>
      <c r="E207" s="968"/>
      <c r="F207" s="969"/>
      <c r="G207" s="970"/>
      <c r="H207" s="971"/>
      <c r="I207" s="970"/>
      <c r="J207" s="974"/>
    </row>
    <row r="208" spans="3:10" ht="15.75">
      <c r="C208" s="963"/>
      <c r="D208" s="967"/>
      <c r="E208" s="968"/>
      <c r="F208" s="969"/>
      <c r="G208" s="970"/>
      <c r="H208" s="971"/>
      <c r="I208" s="970"/>
      <c r="J208" s="974"/>
    </row>
    <row r="209" spans="3:10" ht="15.75">
      <c r="C209" s="963"/>
      <c r="D209" s="967"/>
      <c r="E209" s="968"/>
      <c r="F209" s="969"/>
      <c r="G209" s="970"/>
      <c r="H209" s="971"/>
      <c r="I209" s="970"/>
      <c r="J209" s="974"/>
    </row>
    <row r="210" spans="3:10" ht="15.75">
      <c r="C210" s="963"/>
      <c r="D210" s="967"/>
      <c r="E210" s="968"/>
      <c r="F210" s="969"/>
      <c r="G210" s="970"/>
      <c r="H210" s="971"/>
      <c r="I210" s="970"/>
      <c r="J210" s="974"/>
    </row>
    <row r="211" spans="3:10" ht="15.75">
      <c r="C211" s="963"/>
      <c r="D211" s="967"/>
      <c r="E211" s="968"/>
      <c r="F211" s="969"/>
      <c r="G211" s="970"/>
      <c r="H211" s="971"/>
      <c r="I211" s="970"/>
      <c r="J211" s="974"/>
    </row>
    <row r="212" spans="3:10" ht="15.75">
      <c r="C212" s="963"/>
      <c r="D212" s="967"/>
      <c r="E212" s="968"/>
      <c r="F212" s="969"/>
      <c r="G212" s="970"/>
      <c r="H212" s="971"/>
      <c r="I212" s="970"/>
      <c r="J212" s="974"/>
    </row>
    <row r="213" spans="3:10" ht="15.75">
      <c r="C213" s="963"/>
      <c r="D213" s="967"/>
      <c r="E213" s="968"/>
      <c r="F213" s="969"/>
      <c r="G213" s="970"/>
      <c r="H213" s="971"/>
      <c r="I213" s="970"/>
      <c r="J213" s="974"/>
    </row>
    <row r="214" spans="3:10" ht="15.75">
      <c r="C214" s="963"/>
      <c r="D214" s="967"/>
      <c r="E214" s="968"/>
      <c r="F214" s="969"/>
      <c r="G214" s="970"/>
      <c r="H214" s="971"/>
      <c r="I214" s="970"/>
      <c r="J214" s="974"/>
    </row>
    <row r="215" spans="3:10" ht="15.75">
      <c r="C215" s="963"/>
      <c r="D215" s="967"/>
      <c r="E215" s="968"/>
      <c r="F215" s="969"/>
      <c r="G215" s="970"/>
      <c r="H215" s="971"/>
      <c r="I215" s="970"/>
      <c r="J215" s="974"/>
    </row>
    <row r="216" spans="3:10" ht="15.75">
      <c r="C216" s="963"/>
      <c r="D216" s="967"/>
      <c r="E216" s="968"/>
      <c r="F216" s="969"/>
      <c r="G216" s="970"/>
      <c r="H216" s="971"/>
      <c r="I216" s="970"/>
      <c r="J216" s="974"/>
    </row>
    <row r="217" spans="3:10" ht="15.75">
      <c r="C217" s="963"/>
      <c r="D217" s="967"/>
      <c r="E217" s="968"/>
      <c r="F217" s="969"/>
      <c r="G217" s="970"/>
      <c r="H217" s="971"/>
      <c r="I217" s="970"/>
      <c r="J217" s="974"/>
    </row>
    <row r="218" spans="3:10" ht="15.75">
      <c r="C218" s="963"/>
      <c r="D218" s="967"/>
      <c r="E218" s="968"/>
      <c r="F218" s="969"/>
      <c r="G218" s="970"/>
      <c r="H218" s="971"/>
      <c r="I218" s="970"/>
      <c r="J218" s="974"/>
    </row>
    <row r="219" spans="3:10" ht="15.75">
      <c r="C219" s="963"/>
      <c r="D219" s="967"/>
      <c r="E219" s="968"/>
      <c r="F219" s="969"/>
      <c r="G219" s="970"/>
      <c r="H219" s="971"/>
      <c r="I219" s="970"/>
      <c r="J219" s="974"/>
    </row>
    <row r="220" spans="3:10" ht="15.75">
      <c r="C220" s="963"/>
      <c r="D220" s="967"/>
      <c r="E220" s="968"/>
      <c r="F220" s="969"/>
      <c r="G220" s="970"/>
      <c r="H220" s="971"/>
      <c r="I220" s="970"/>
      <c r="J220" s="974"/>
    </row>
    <row r="221" spans="3:10" ht="15.75">
      <c r="C221" s="963"/>
      <c r="D221" s="967"/>
      <c r="E221" s="968"/>
      <c r="F221" s="969"/>
      <c r="G221" s="970"/>
      <c r="H221" s="971"/>
      <c r="I221" s="970"/>
      <c r="J221" s="974"/>
    </row>
    <row r="222" spans="3:10" ht="15.75">
      <c r="C222" s="963"/>
      <c r="D222" s="967"/>
      <c r="E222" s="968"/>
      <c r="F222" s="969"/>
      <c r="G222" s="970"/>
      <c r="H222" s="971"/>
      <c r="I222" s="970"/>
      <c r="J222" s="974"/>
    </row>
    <row r="223" spans="3:10" ht="15.75">
      <c r="C223" s="963"/>
      <c r="D223" s="967"/>
      <c r="E223" s="968"/>
      <c r="F223" s="969"/>
      <c r="G223" s="970"/>
      <c r="H223" s="971"/>
      <c r="I223" s="970"/>
      <c r="J223" s="974"/>
    </row>
    <row r="224" spans="3:10" ht="15.75">
      <c r="C224" s="963"/>
      <c r="D224" s="967"/>
      <c r="E224" s="968"/>
      <c r="F224" s="969"/>
      <c r="G224" s="970"/>
      <c r="H224" s="971"/>
      <c r="I224" s="970"/>
      <c r="J224" s="974"/>
    </row>
    <row r="225" spans="3:10" ht="15.75">
      <c r="C225" s="963"/>
      <c r="D225" s="967"/>
      <c r="E225" s="968"/>
      <c r="F225" s="969"/>
      <c r="G225" s="970"/>
      <c r="H225" s="971"/>
      <c r="I225" s="970"/>
      <c r="J225" s="974"/>
    </row>
    <row r="226" spans="3:10" ht="15.75">
      <c r="C226" s="963"/>
      <c r="D226" s="967"/>
      <c r="E226" s="968"/>
      <c r="F226" s="969"/>
      <c r="G226" s="970"/>
      <c r="H226" s="971"/>
      <c r="I226" s="970"/>
      <c r="J226" s="974"/>
    </row>
    <row r="227" spans="3:10" ht="15.75">
      <c r="C227" s="963"/>
      <c r="D227" s="967"/>
      <c r="E227" s="968"/>
      <c r="F227" s="969"/>
      <c r="G227" s="970"/>
      <c r="H227" s="971"/>
      <c r="I227" s="970"/>
      <c r="J227" s="974"/>
    </row>
    <row r="228" spans="3:10" ht="15.75">
      <c r="C228" s="963"/>
      <c r="D228" s="967"/>
      <c r="E228" s="968"/>
      <c r="F228" s="969"/>
      <c r="G228" s="970"/>
      <c r="H228" s="971"/>
      <c r="I228" s="970"/>
      <c r="J228" s="974"/>
    </row>
    <row r="229" spans="3:10" ht="15.75">
      <c r="C229" s="963"/>
      <c r="D229" s="967"/>
      <c r="E229" s="968"/>
      <c r="F229" s="969"/>
      <c r="G229" s="970"/>
      <c r="H229" s="971"/>
      <c r="I229" s="970"/>
      <c r="J229" s="974"/>
    </row>
    <row r="230" spans="3:10" ht="15.75">
      <c r="C230" s="963"/>
      <c r="D230" s="967"/>
      <c r="E230" s="968"/>
      <c r="F230" s="969"/>
      <c r="G230" s="970"/>
      <c r="H230" s="971"/>
      <c r="I230" s="970"/>
      <c r="J230" s="974"/>
    </row>
    <row r="231" spans="3:10" ht="15.75">
      <c r="C231" s="963"/>
      <c r="D231" s="967"/>
      <c r="E231" s="968"/>
      <c r="F231" s="969"/>
      <c r="G231" s="970"/>
      <c r="H231" s="971"/>
      <c r="I231" s="970"/>
      <c r="J231" s="974"/>
    </row>
    <row r="232" spans="3:10" ht="15.75">
      <c r="C232" s="963"/>
      <c r="D232" s="967"/>
      <c r="E232" s="968"/>
      <c r="F232" s="969"/>
      <c r="G232" s="970"/>
      <c r="H232" s="971"/>
      <c r="I232" s="970"/>
      <c r="J232" s="974"/>
    </row>
    <row r="233" spans="3:10" ht="15.75">
      <c r="C233" s="963"/>
      <c r="D233" s="967"/>
      <c r="E233" s="968"/>
      <c r="F233" s="969"/>
      <c r="G233" s="970"/>
      <c r="H233" s="971"/>
      <c r="I233" s="970"/>
      <c r="J233" s="974"/>
    </row>
    <row r="234" spans="3:10" ht="15.75">
      <c r="C234" s="963"/>
      <c r="D234" s="967"/>
      <c r="E234" s="968"/>
      <c r="F234" s="969"/>
      <c r="G234" s="970"/>
      <c r="H234" s="971"/>
      <c r="I234" s="970"/>
      <c r="J234" s="974"/>
    </row>
    <row r="235" spans="3:10" ht="15.75">
      <c r="C235" s="963"/>
      <c r="D235" s="967"/>
      <c r="E235" s="968"/>
      <c r="F235" s="969"/>
      <c r="G235" s="970"/>
      <c r="H235" s="971"/>
      <c r="I235" s="970"/>
      <c r="J235" s="974"/>
    </row>
    <row r="236" spans="3:10" ht="15.75">
      <c r="C236" s="963"/>
      <c r="D236" s="967"/>
      <c r="E236" s="968"/>
      <c r="F236" s="969"/>
      <c r="G236" s="970"/>
      <c r="H236" s="971"/>
      <c r="I236" s="970"/>
      <c r="J236" s="974"/>
    </row>
    <row r="237" spans="3:10" ht="15.75">
      <c r="C237" s="963"/>
      <c r="D237" s="967"/>
      <c r="E237" s="968"/>
      <c r="F237" s="969"/>
      <c r="G237" s="970"/>
      <c r="H237" s="971"/>
      <c r="I237" s="970"/>
      <c r="J237" s="974"/>
    </row>
    <row r="238" spans="3:10" ht="15.75">
      <c r="C238" s="963"/>
      <c r="D238" s="967"/>
      <c r="E238" s="968"/>
      <c r="F238" s="969"/>
      <c r="G238" s="970"/>
      <c r="H238" s="971"/>
      <c r="I238" s="970"/>
      <c r="J238" s="974"/>
    </row>
    <row r="239" spans="3:10" ht="15.75">
      <c r="C239" s="963"/>
      <c r="D239" s="967"/>
      <c r="E239" s="968"/>
      <c r="F239" s="969"/>
      <c r="G239" s="970"/>
      <c r="H239" s="971"/>
      <c r="I239" s="970"/>
      <c r="J239" s="974"/>
    </row>
    <row r="240" spans="3:10" ht="15.75">
      <c r="C240" s="963"/>
      <c r="D240" s="967"/>
      <c r="E240" s="968"/>
      <c r="F240" s="969"/>
      <c r="G240" s="970"/>
      <c r="H240" s="971"/>
      <c r="I240" s="970"/>
      <c r="J240" s="974"/>
    </row>
    <row r="241" spans="3:10" ht="15.75">
      <c r="C241" s="963"/>
      <c r="D241" s="967"/>
      <c r="E241" s="968"/>
      <c r="F241" s="969"/>
      <c r="G241" s="970"/>
      <c r="H241" s="971"/>
      <c r="I241" s="970"/>
      <c r="J241" s="974"/>
    </row>
    <row r="242" spans="3:10" ht="15.75">
      <c r="C242" s="963"/>
      <c r="D242" s="967"/>
      <c r="E242" s="968"/>
      <c r="F242" s="969"/>
      <c r="G242" s="970"/>
      <c r="H242" s="971"/>
      <c r="I242" s="970"/>
      <c r="J242" s="974"/>
    </row>
    <row r="243" spans="3:10" ht="15.75">
      <c r="C243" s="963"/>
      <c r="D243" s="967"/>
      <c r="E243" s="968"/>
      <c r="F243" s="969"/>
      <c r="G243" s="970"/>
      <c r="H243" s="971"/>
      <c r="I243" s="970"/>
      <c r="J243" s="974"/>
    </row>
    <row r="244" spans="3:10" ht="15.75">
      <c r="C244" s="963"/>
      <c r="D244" s="967"/>
      <c r="E244" s="968"/>
      <c r="F244" s="969"/>
      <c r="G244" s="970"/>
      <c r="H244" s="971"/>
      <c r="I244" s="970"/>
      <c r="J244" s="974"/>
    </row>
    <row r="245" spans="3:10" ht="15.75">
      <c r="C245" s="963"/>
      <c r="D245" s="967"/>
      <c r="E245" s="968"/>
      <c r="F245" s="969"/>
      <c r="G245" s="970"/>
      <c r="H245" s="971"/>
      <c r="I245" s="970"/>
      <c r="J245" s="974"/>
    </row>
    <row r="246" spans="3:10" ht="15.75">
      <c r="C246" s="963"/>
      <c r="D246" s="967"/>
      <c r="E246" s="968"/>
      <c r="F246" s="969"/>
      <c r="G246" s="970"/>
      <c r="H246" s="971"/>
      <c r="I246" s="970"/>
      <c r="J246" s="974"/>
    </row>
    <row r="247" spans="3:10" ht="15.75">
      <c r="C247" s="963"/>
      <c r="D247" s="967"/>
      <c r="E247" s="968"/>
      <c r="F247" s="969"/>
      <c r="G247" s="970"/>
      <c r="H247" s="971"/>
      <c r="I247" s="970"/>
      <c r="J247" s="974"/>
    </row>
    <row r="248" spans="3:10" ht="15.75">
      <c r="C248" s="963"/>
      <c r="D248" s="967"/>
      <c r="E248" s="968"/>
      <c r="F248" s="969"/>
      <c r="G248" s="970"/>
      <c r="H248" s="971"/>
      <c r="I248" s="970"/>
      <c r="J248" s="974"/>
    </row>
    <row r="249" spans="3:10" ht="15.75">
      <c r="C249" s="963"/>
      <c r="D249" s="967"/>
      <c r="E249" s="968"/>
      <c r="F249" s="969"/>
      <c r="G249" s="970"/>
      <c r="H249" s="971"/>
      <c r="I249" s="970"/>
      <c r="J249" s="974"/>
    </row>
    <row r="250" spans="3:10" ht="15.75">
      <c r="C250" s="963"/>
      <c r="D250" s="967"/>
      <c r="E250" s="968"/>
      <c r="F250" s="969"/>
      <c r="G250" s="970"/>
      <c r="H250" s="971"/>
      <c r="I250" s="970"/>
      <c r="J250" s="974"/>
    </row>
    <row r="251" spans="3:10" ht="15.75">
      <c r="C251" s="963"/>
      <c r="D251" s="967"/>
      <c r="E251" s="968"/>
      <c r="F251" s="969"/>
      <c r="G251" s="970"/>
      <c r="H251" s="971"/>
      <c r="I251" s="970"/>
      <c r="J251" s="974"/>
    </row>
    <row r="252" spans="3:10" ht="15.75">
      <c r="C252" s="963"/>
      <c r="D252" s="967"/>
      <c r="E252" s="968"/>
      <c r="F252" s="969"/>
      <c r="G252" s="970"/>
      <c r="H252" s="971"/>
      <c r="I252" s="970"/>
      <c r="J252" s="974"/>
    </row>
    <row r="253" spans="3:10" ht="15.75">
      <c r="C253" s="963"/>
      <c r="D253" s="967"/>
      <c r="E253" s="968"/>
      <c r="F253" s="969"/>
      <c r="G253" s="970"/>
      <c r="H253" s="971"/>
      <c r="I253" s="970"/>
      <c r="J253" s="974"/>
    </row>
    <row r="254" spans="3:10" ht="15.75">
      <c r="C254" s="963"/>
      <c r="D254" s="967"/>
      <c r="E254" s="968"/>
      <c r="F254" s="969"/>
      <c r="G254" s="970"/>
      <c r="H254" s="971"/>
      <c r="I254" s="970"/>
      <c r="J254" s="974"/>
    </row>
    <row r="255" spans="3:10" ht="15.75">
      <c r="C255" s="963"/>
      <c r="D255" s="967"/>
      <c r="E255" s="968"/>
      <c r="F255" s="969"/>
      <c r="G255" s="970"/>
      <c r="H255" s="971"/>
      <c r="I255" s="970"/>
      <c r="J255" s="974"/>
    </row>
    <row r="256" spans="3:10" ht="15.75">
      <c r="C256" s="963"/>
      <c r="D256" s="967"/>
      <c r="E256" s="968"/>
      <c r="F256" s="969"/>
      <c r="G256" s="970"/>
      <c r="H256" s="971"/>
      <c r="I256" s="970"/>
      <c r="J256" s="974"/>
    </row>
    <row r="257" spans="3:10" ht="15.75">
      <c r="C257" s="963"/>
      <c r="D257" s="967"/>
      <c r="E257" s="968"/>
      <c r="F257" s="969"/>
      <c r="G257" s="970"/>
      <c r="H257" s="971"/>
      <c r="I257" s="970"/>
      <c r="J257" s="974"/>
    </row>
    <row r="258" spans="3:10" ht="15.75">
      <c r="C258" s="963"/>
      <c r="D258" s="967"/>
      <c r="E258" s="968"/>
      <c r="F258" s="969"/>
      <c r="G258" s="970"/>
      <c r="H258" s="971"/>
      <c r="I258" s="970"/>
      <c r="J258" s="974"/>
    </row>
    <row r="259" spans="3:10" ht="15.75">
      <c r="C259" s="963"/>
      <c r="D259" s="967"/>
      <c r="E259" s="968"/>
      <c r="F259" s="969"/>
      <c r="G259" s="970"/>
      <c r="H259" s="971"/>
      <c r="I259" s="970"/>
      <c r="J259" s="974"/>
    </row>
    <row r="260" spans="3:10" ht="15.75">
      <c r="C260" s="963"/>
      <c r="D260" s="967"/>
      <c r="E260" s="968"/>
      <c r="F260" s="969"/>
      <c r="G260" s="970"/>
      <c r="H260" s="971"/>
      <c r="I260" s="970"/>
      <c r="J260" s="974"/>
    </row>
    <row r="261" spans="3:10" ht="15.75">
      <c r="C261" s="963"/>
      <c r="D261" s="967"/>
      <c r="E261" s="968"/>
      <c r="F261" s="969"/>
      <c r="G261" s="970"/>
      <c r="H261" s="971"/>
      <c r="I261" s="970"/>
      <c r="J261" s="974"/>
    </row>
    <row r="262" spans="3:10" ht="15.75">
      <c r="C262" s="963"/>
      <c r="D262" s="967"/>
      <c r="E262" s="968"/>
      <c r="F262" s="969"/>
      <c r="G262" s="970"/>
      <c r="H262" s="971"/>
      <c r="I262" s="970"/>
      <c r="J262" s="974"/>
    </row>
    <row r="263" spans="3:10" ht="15.75">
      <c r="C263" s="963"/>
      <c r="D263" s="967"/>
      <c r="E263" s="968"/>
      <c r="F263" s="969"/>
      <c r="G263" s="970"/>
      <c r="H263" s="971"/>
      <c r="I263" s="970"/>
      <c r="J263" s="974"/>
    </row>
    <row r="264" spans="3:10" ht="15.75">
      <c r="C264" s="963"/>
      <c r="D264" s="967"/>
      <c r="E264" s="968"/>
      <c r="F264" s="969"/>
      <c r="G264" s="970"/>
      <c r="H264" s="971"/>
      <c r="I264" s="970"/>
      <c r="J264" s="974"/>
    </row>
    <row r="265" spans="3:10" ht="15.75">
      <c r="C265" s="963"/>
      <c r="D265" s="967"/>
      <c r="E265" s="968"/>
      <c r="F265" s="969"/>
      <c r="G265" s="970"/>
      <c r="H265" s="971"/>
      <c r="I265" s="970"/>
      <c r="J265" s="974"/>
    </row>
    <row r="266" spans="3:10" ht="15.75">
      <c r="C266" s="963"/>
      <c r="D266" s="967"/>
      <c r="E266" s="968"/>
      <c r="F266" s="969"/>
      <c r="G266" s="970"/>
      <c r="H266" s="971"/>
      <c r="I266" s="970"/>
      <c r="J266" s="974"/>
    </row>
    <row r="267" spans="3:10" ht="15.75">
      <c r="C267" s="963"/>
      <c r="D267" s="967"/>
      <c r="E267" s="968"/>
      <c r="F267" s="969"/>
      <c r="G267" s="970"/>
      <c r="H267" s="971"/>
      <c r="I267" s="970"/>
      <c r="J267" s="974"/>
    </row>
    <row r="268" spans="3:10" ht="15.75">
      <c r="C268" s="963"/>
      <c r="D268" s="967"/>
      <c r="E268" s="968"/>
      <c r="F268" s="969"/>
      <c r="G268" s="970"/>
      <c r="H268" s="971"/>
      <c r="I268" s="970"/>
      <c r="J268" s="974"/>
    </row>
    <row r="269" spans="3:10" ht="15.75">
      <c r="C269" s="963"/>
      <c r="D269" s="967"/>
      <c r="E269" s="968"/>
      <c r="F269" s="969"/>
      <c r="G269" s="970"/>
      <c r="H269" s="971"/>
      <c r="I269" s="970"/>
      <c r="J269" s="974"/>
    </row>
    <row r="270" spans="3:10" ht="15.75">
      <c r="C270" s="963"/>
      <c r="D270" s="967"/>
      <c r="E270" s="968"/>
      <c r="F270" s="969"/>
      <c r="G270" s="970"/>
      <c r="H270" s="971"/>
      <c r="I270" s="970"/>
      <c r="J270" s="974"/>
    </row>
    <row r="271" spans="3:10" ht="15.75">
      <c r="C271" s="963"/>
      <c r="D271" s="967"/>
      <c r="E271" s="968"/>
      <c r="F271" s="969"/>
      <c r="G271" s="970"/>
      <c r="H271" s="971"/>
      <c r="I271" s="970"/>
      <c r="J271" s="974"/>
    </row>
    <row r="272" spans="3:10" ht="15.75">
      <c r="C272" s="963"/>
      <c r="D272" s="967"/>
      <c r="E272" s="968"/>
      <c r="F272" s="969"/>
      <c r="G272" s="970"/>
      <c r="H272" s="971"/>
      <c r="I272" s="970"/>
      <c r="J272" s="974"/>
    </row>
    <row r="273" spans="3:10" ht="15.75">
      <c r="C273" s="963"/>
      <c r="D273" s="967"/>
      <c r="E273" s="968"/>
      <c r="F273" s="969"/>
      <c r="G273" s="970"/>
      <c r="H273" s="971"/>
      <c r="I273" s="970"/>
      <c r="J273" s="974"/>
    </row>
    <row r="274" spans="3:10" ht="15.75">
      <c r="C274" s="963"/>
      <c r="D274" s="967"/>
      <c r="E274" s="968"/>
      <c r="F274" s="969"/>
      <c r="G274" s="970"/>
      <c r="H274" s="971"/>
      <c r="I274" s="970"/>
      <c r="J274" s="974"/>
    </row>
    <row r="275" spans="3:10" ht="15.75">
      <c r="C275" s="963"/>
      <c r="D275" s="967"/>
      <c r="E275" s="968"/>
      <c r="F275" s="969"/>
      <c r="G275" s="970"/>
      <c r="H275" s="971"/>
      <c r="I275" s="970"/>
      <c r="J275" s="974"/>
    </row>
    <row r="276" spans="3:10" ht="15.75">
      <c r="C276" s="963"/>
      <c r="D276" s="967"/>
      <c r="E276" s="968"/>
      <c r="F276" s="969"/>
      <c r="G276" s="970"/>
      <c r="H276" s="971"/>
      <c r="I276" s="970"/>
      <c r="J276" s="974"/>
    </row>
    <row r="277" spans="3:10" ht="15.75">
      <c r="C277" s="963"/>
      <c r="D277" s="967"/>
      <c r="E277" s="968"/>
      <c r="F277" s="969"/>
      <c r="G277" s="970"/>
      <c r="H277" s="971"/>
      <c r="I277" s="970"/>
      <c r="J277" s="974"/>
    </row>
    <row r="278" spans="3:10" ht="15.75">
      <c r="C278" s="963"/>
      <c r="D278" s="967"/>
      <c r="E278" s="968"/>
      <c r="F278" s="969"/>
      <c r="G278" s="970"/>
      <c r="H278" s="971"/>
      <c r="I278" s="970"/>
      <c r="J278" s="974"/>
    </row>
    <row r="279" spans="3:10" ht="15.75">
      <c r="C279" s="963"/>
      <c r="D279" s="967"/>
      <c r="E279" s="968"/>
      <c r="F279" s="969"/>
      <c r="G279" s="970"/>
      <c r="H279" s="971"/>
      <c r="I279" s="970"/>
      <c r="J279" s="974"/>
    </row>
    <row r="280" spans="3:10" ht="15.75">
      <c r="C280" s="963"/>
      <c r="D280" s="967"/>
      <c r="E280" s="968"/>
      <c r="F280" s="969"/>
      <c r="G280" s="970"/>
      <c r="H280" s="971"/>
      <c r="I280" s="970"/>
      <c r="J280" s="974"/>
    </row>
    <row r="281" spans="3:10" ht="15.75">
      <c r="C281" s="963"/>
      <c r="D281" s="967"/>
      <c r="E281" s="968"/>
      <c r="F281" s="969"/>
      <c r="G281" s="970"/>
      <c r="H281" s="971"/>
      <c r="I281" s="970"/>
      <c r="J281" s="974"/>
    </row>
    <row r="282" spans="3:10" ht="15.75">
      <c r="C282" s="963"/>
      <c r="D282" s="967"/>
      <c r="E282" s="968"/>
      <c r="F282" s="969"/>
      <c r="G282" s="970"/>
      <c r="H282" s="971"/>
      <c r="I282" s="970"/>
      <c r="J282" s="974"/>
    </row>
    <row r="283" spans="3:10" ht="15.75">
      <c r="C283" s="963"/>
      <c r="D283" s="967"/>
      <c r="E283" s="968"/>
      <c r="F283" s="969"/>
      <c r="G283" s="970"/>
      <c r="H283" s="971"/>
      <c r="I283" s="970"/>
      <c r="J283" s="974"/>
    </row>
    <row r="284" spans="3:10" ht="15.75">
      <c r="C284" s="963"/>
      <c r="D284" s="967"/>
      <c r="E284" s="968"/>
      <c r="F284" s="969"/>
      <c r="G284" s="970"/>
      <c r="H284" s="971"/>
      <c r="I284" s="970"/>
      <c r="J284" s="974"/>
    </row>
    <row r="285" spans="3:10" ht="15.75">
      <c r="C285" s="963"/>
      <c r="D285" s="967"/>
      <c r="E285" s="968"/>
      <c r="F285" s="969"/>
      <c r="G285" s="970"/>
      <c r="H285" s="971"/>
      <c r="I285" s="970"/>
      <c r="J285" s="974"/>
    </row>
    <row r="286" spans="3:10" ht="15.75">
      <c r="C286" s="963"/>
      <c r="D286" s="967"/>
      <c r="E286" s="968"/>
      <c r="F286" s="969"/>
      <c r="G286" s="970"/>
      <c r="H286" s="971"/>
      <c r="I286" s="970"/>
      <c r="J286" s="974"/>
    </row>
    <row r="287" spans="3:10" ht="15.75">
      <c r="C287" s="963"/>
      <c r="D287" s="967"/>
      <c r="E287" s="968"/>
      <c r="F287" s="969"/>
      <c r="G287" s="970"/>
      <c r="H287" s="971"/>
      <c r="I287" s="970"/>
      <c r="J287" s="974"/>
    </row>
    <row r="288" spans="3:10" ht="15.75">
      <c r="C288" s="963"/>
      <c r="D288" s="967"/>
      <c r="E288" s="968"/>
      <c r="F288" s="969"/>
      <c r="G288" s="970"/>
      <c r="H288" s="971"/>
      <c r="I288" s="970"/>
      <c r="J288" s="974"/>
    </row>
    <row r="289" spans="3:10" ht="15.75">
      <c r="C289" s="963"/>
      <c r="D289" s="967"/>
      <c r="E289" s="968"/>
      <c r="F289" s="969"/>
      <c r="G289" s="970"/>
      <c r="H289" s="971"/>
      <c r="I289" s="970"/>
      <c r="J289" s="974"/>
    </row>
    <row r="290" spans="3:10" ht="15.75">
      <c r="C290" s="963"/>
      <c r="D290" s="967"/>
      <c r="E290" s="968"/>
      <c r="F290" s="969"/>
      <c r="G290" s="970"/>
      <c r="H290" s="971"/>
      <c r="I290" s="970"/>
      <c r="J290" s="974"/>
    </row>
    <row r="291" spans="3:10" ht="15.75">
      <c r="C291" s="963"/>
      <c r="D291" s="967"/>
      <c r="E291" s="968"/>
      <c r="F291" s="969"/>
      <c r="G291" s="970"/>
      <c r="H291" s="971"/>
      <c r="I291" s="970"/>
      <c r="J291" s="974"/>
    </row>
    <row r="292" spans="3:10" ht="15.75">
      <c r="C292" s="963"/>
      <c r="D292" s="967"/>
      <c r="E292" s="968"/>
      <c r="F292" s="969"/>
      <c r="G292" s="970"/>
      <c r="H292" s="971"/>
      <c r="I292" s="970"/>
      <c r="J292" s="974"/>
    </row>
    <row r="293" spans="3:10" ht="15.75">
      <c r="C293" s="963"/>
      <c r="D293" s="967"/>
      <c r="E293" s="968"/>
      <c r="F293" s="969"/>
      <c r="G293" s="970"/>
      <c r="H293" s="971"/>
      <c r="I293" s="970"/>
      <c r="J293" s="974"/>
    </row>
    <row r="294" spans="3:10" ht="15.75">
      <c r="C294" s="963"/>
      <c r="D294" s="967"/>
      <c r="E294" s="968"/>
      <c r="F294" s="969"/>
      <c r="G294" s="970"/>
      <c r="H294" s="971"/>
      <c r="I294" s="970"/>
      <c r="J294" s="974"/>
    </row>
    <row r="295" spans="3:10" ht="15.75">
      <c r="C295" s="963"/>
      <c r="D295" s="967"/>
      <c r="E295" s="968"/>
      <c r="F295" s="969"/>
      <c r="G295" s="970"/>
      <c r="H295" s="971"/>
      <c r="I295" s="970"/>
      <c r="J295" s="974"/>
    </row>
    <row r="296" spans="3:10" ht="15.75">
      <c r="C296" s="963"/>
      <c r="D296" s="967"/>
      <c r="E296" s="968"/>
      <c r="F296" s="969"/>
      <c r="G296" s="970"/>
      <c r="H296" s="971"/>
      <c r="I296" s="970"/>
      <c r="J296" s="974"/>
    </row>
    <row r="297" spans="3:10" ht="15.75">
      <c r="C297" s="963"/>
      <c r="D297" s="967"/>
      <c r="E297" s="968"/>
      <c r="F297" s="969"/>
      <c r="G297" s="970"/>
      <c r="H297" s="971"/>
      <c r="I297" s="970"/>
      <c r="J297" s="974"/>
    </row>
    <row r="298" spans="3:10" ht="15.75">
      <c r="C298" s="963"/>
      <c r="D298" s="967"/>
      <c r="E298" s="968"/>
      <c r="F298" s="969"/>
      <c r="G298" s="970"/>
      <c r="H298" s="971"/>
      <c r="I298" s="970"/>
      <c r="J298" s="974"/>
    </row>
    <row r="299" spans="3:10" ht="15.75">
      <c r="C299" s="963"/>
      <c r="D299" s="967"/>
      <c r="E299" s="968"/>
      <c r="F299" s="969"/>
      <c r="G299" s="970"/>
      <c r="H299" s="971"/>
      <c r="I299" s="970"/>
      <c r="J299" s="974"/>
    </row>
    <row r="300" spans="3:10" ht="15.75">
      <c r="C300" s="963"/>
      <c r="D300" s="967"/>
      <c r="E300" s="968"/>
      <c r="F300" s="969"/>
      <c r="G300" s="970"/>
      <c r="H300" s="971"/>
      <c r="I300" s="970"/>
      <c r="J300" s="974"/>
    </row>
    <row r="301" spans="3:10" ht="15.75">
      <c r="C301" s="963"/>
      <c r="D301" s="967"/>
      <c r="E301" s="968"/>
      <c r="F301" s="969"/>
      <c r="G301" s="970"/>
      <c r="H301" s="971"/>
      <c r="I301" s="970"/>
      <c r="J301" s="974"/>
    </row>
    <row r="302" spans="3:10" ht="15.75">
      <c r="C302" s="963"/>
      <c r="D302" s="967"/>
      <c r="E302" s="968"/>
      <c r="F302" s="969"/>
      <c r="G302" s="970"/>
      <c r="H302" s="971"/>
      <c r="I302" s="970"/>
      <c r="J302" s="974"/>
    </row>
    <row r="303" spans="3:10" ht="15.75">
      <c r="C303" s="963"/>
      <c r="D303" s="967"/>
      <c r="E303" s="968"/>
      <c r="F303" s="969"/>
      <c r="G303" s="970"/>
      <c r="H303" s="971"/>
      <c r="I303" s="970"/>
      <c r="J303" s="974"/>
    </row>
    <row r="304" spans="3:10" ht="15.75">
      <c r="C304" s="963"/>
      <c r="D304" s="967"/>
      <c r="E304" s="968"/>
      <c r="F304" s="969"/>
      <c r="G304" s="970"/>
      <c r="H304" s="971"/>
      <c r="I304" s="970"/>
      <c r="J304" s="974"/>
    </row>
    <row r="305" spans="3:10" ht="15.75">
      <c r="C305" s="963"/>
      <c r="D305" s="967"/>
      <c r="E305" s="968"/>
      <c r="F305" s="969"/>
      <c r="G305" s="970"/>
      <c r="H305" s="971"/>
      <c r="I305" s="970"/>
      <c r="J305" s="974"/>
    </row>
    <row r="306" spans="3:10" ht="15.75">
      <c r="C306" s="963"/>
      <c r="D306" s="967"/>
      <c r="E306" s="968"/>
      <c r="F306" s="969"/>
      <c r="G306" s="970"/>
      <c r="H306" s="971"/>
      <c r="I306" s="970"/>
      <c r="J306" s="974"/>
    </row>
    <row r="307" spans="3:10" ht="15.75">
      <c r="C307" s="963"/>
      <c r="D307" s="967"/>
      <c r="E307" s="968"/>
      <c r="F307" s="969"/>
      <c r="G307" s="970"/>
      <c r="H307" s="971"/>
      <c r="I307" s="970"/>
      <c r="J307" s="974"/>
    </row>
    <row r="308" spans="3:10" ht="15.75">
      <c r="C308" s="963"/>
      <c r="D308" s="967"/>
      <c r="E308" s="968"/>
      <c r="F308" s="969"/>
      <c r="G308" s="970"/>
      <c r="H308" s="971"/>
      <c r="I308" s="970"/>
      <c r="J308" s="974"/>
    </row>
    <row r="309" spans="3:10" ht="15.75">
      <c r="C309" s="963"/>
      <c r="D309" s="967"/>
      <c r="E309" s="968"/>
      <c r="F309" s="969"/>
      <c r="G309" s="970"/>
      <c r="H309" s="971"/>
      <c r="I309" s="970"/>
      <c r="J309" s="974"/>
    </row>
    <row r="310" spans="3:10" ht="15.75">
      <c r="C310" s="963"/>
      <c r="D310" s="967"/>
      <c r="E310" s="968"/>
      <c r="F310" s="969"/>
      <c r="G310" s="970"/>
      <c r="H310" s="971"/>
      <c r="I310" s="970"/>
      <c r="J310" s="974"/>
    </row>
    <row r="311" spans="3:10" ht="15.75">
      <c r="C311" s="963"/>
      <c r="D311" s="967"/>
      <c r="E311" s="968"/>
      <c r="F311" s="969"/>
      <c r="G311" s="970"/>
      <c r="H311" s="971"/>
      <c r="I311" s="970"/>
      <c r="J311" s="974"/>
    </row>
    <row r="312" spans="3:10" ht="15.75">
      <c r="C312" s="963"/>
      <c r="D312" s="967"/>
      <c r="E312" s="968"/>
      <c r="F312" s="969"/>
      <c r="G312" s="970"/>
      <c r="H312" s="971"/>
      <c r="I312" s="970"/>
      <c r="J312" s="974"/>
    </row>
    <row r="313" spans="3:10" ht="15.75">
      <c r="C313" s="963"/>
      <c r="D313" s="967"/>
      <c r="E313" s="968"/>
      <c r="F313" s="969"/>
      <c r="G313" s="970"/>
      <c r="H313" s="971"/>
      <c r="I313" s="970"/>
      <c r="J313" s="974"/>
    </row>
    <row r="314" spans="3:10" ht="15.75">
      <c r="C314" s="963"/>
      <c r="D314" s="967"/>
      <c r="E314" s="968"/>
      <c r="F314" s="969"/>
      <c r="G314" s="970"/>
      <c r="H314" s="971"/>
      <c r="I314" s="970"/>
      <c r="J314" s="974"/>
    </row>
    <row r="315" spans="3:10" ht="15.75">
      <c r="C315" s="963"/>
      <c r="D315" s="967"/>
      <c r="E315" s="968"/>
      <c r="F315" s="969"/>
      <c r="G315" s="970"/>
      <c r="H315" s="971"/>
      <c r="I315" s="970"/>
      <c r="J315" s="974"/>
    </row>
    <row r="316" spans="3:10" ht="15.75">
      <c r="C316" s="963"/>
      <c r="D316" s="967"/>
      <c r="E316" s="968"/>
      <c r="F316" s="969"/>
      <c r="G316" s="970"/>
      <c r="H316" s="971"/>
      <c r="I316" s="970"/>
      <c r="J316" s="974"/>
    </row>
    <row r="317" spans="3:10" ht="15.75">
      <c r="C317" s="963"/>
      <c r="D317" s="967"/>
      <c r="E317" s="968"/>
      <c r="F317" s="969"/>
      <c r="G317" s="970"/>
      <c r="H317" s="971"/>
      <c r="I317" s="970"/>
      <c r="J317" s="974"/>
    </row>
    <row r="318" spans="3:10" ht="15.75">
      <c r="C318" s="963"/>
      <c r="D318" s="967"/>
      <c r="E318" s="968"/>
      <c r="F318" s="969"/>
      <c r="G318" s="970"/>
      <c r="H318" s="971"/>
      <c r="I318" s="970"/>
      <c r="J318" s="974"/>
    </row>
    <row r="319" spans="3:10" ht="15.75">
      <c r="C319" s="963"/>
      <c r="D319" s="967"/>
      <c r="E319" s="968"/>
      <c r="F319" s="969"/>
      <c r="G319" s="970"/>
      <c r="H319" s="971"/>
      <c r="I319" s="970"/>
      <c r="J319" s="974"/>
    </row>
    <row r="320" spans="3:10" ht="15.75">
      <c r="C320" s="963"/>
      <c r="D320" s="967"/>
      <c r="E320" s="968"/>
      <c r="F320" s="969"/>
      <c r="G320" s="970"/>
      <c r="H320" s="971"/>
      <c r="I320" s="970"/>
      <c r="J320" s="974"/>
    </row>
    <row r="321" spans="3:10" ht="15.75">
      <c r="C321" s="963"/>
      <c r="D321" s="967"/>
      <c r="E321" s="968"/>
      <c r="F321" s="969"/>
      <c r="G321" s="970"/>
      <c r="H321" s="971"/>
      <c r="I321" s="970"/>
      <c r="J321" s="974"/>
    </row>
    <row r="322" spans="3:10" ht="15.75">
      <c r="C322" s="963"/>
      <c r="D322" s="967"/>
      <c r="E322" s="968"/>
      <c r="F322" s="969"/>
      <c r="G322" s="970"/>
      <c r="H322" s="971"/>
      <c r="I322" s="970"/>
      <c r="J322" s="974"/>
    </row>
    <row r="323" spans="3:10" ht="15.75">
      <c r="C323" s="963"/>
      <c r="D323" s="967"/>
      <c r="E323" s="968"/>
      <c r="F323" s="969"/>
      <c r="G323" s="970"/>
      <c r="H323" s="971"/>
      <c r="I323" s="970"/>
      <c r="J323" s="974"/>
    </row>
    <row r="324" spans="3:10" ht="15.75">
      <c r="C324" s="963"/>
      <c r="D324" s="967"/>
      <c r="E324" s="968"/>
      <c r="F324" s="969"/>
      <c r="G324" s="970"/>
      <c r="H324" s="971"/>
      <c r="I324" s="970"/>
      <c r="J324" s="974"/>
    </row>
    <row r="325" spans="3:10" ht="15.75">
      <c r="C325" s="963"/>
      <c r="D325" s="967"/>
      <c r="E325" s="968"/>
      <c r="F325" s="969"/>
      <c r="G325" s="970"/>
      <c r="H325" s="971"/>
      <c r="I325" s="970"/>
      <c r="J325" s="974"/>
    </row>
    <row r="326" spans="3:10" ht="15.75">
      <c r="C326" s="963"/>
      <c r="D326" s="967"/>
      <c r="E326" s="968"/>
      <c r="F326" s="969"/>
      <c r="G326" s="970"/>
      <c r="H326" s="971"/>
      <c r="I326" s="970"/>
      <c r="J326" s="974"/>
    </row>
    <row r="327" spans="3:10" ht="15.75">
      <c r="C327" s="963"/>
      <c r="D327" s="967"/>
      <c r="E327" s="968"/>
      <c r="F327" s="969"/>
      <c r="G327" s="970"/>
      <c r="H327" s="971"/>
      <c r="I327" s="970"/>
      <c r="J327" s="974"/>
    </row>
    <row r="328" spans="3:10" ht="15.75">
      <c r="C328" s="963"/>
      <c r="D328" s="967"/>
      <c r="E328" s="968"/>
      <c r="F328" s="969"/>
      <c r="G328" s="970"/>
      <c r="H328" s="971"/>
      <c r="I328" s="970"/>
      <c r="J328" s="974"/>
    </row>
    <row r="329" spans="3:10" ht="15.75">
      <c r="C329" s="963"/>
      <c r="D329" s="967"/>
      <c r="E329" s="968"/>
      <c r="F329" s="969"/>
      <c r="G329" s="970"/>
      <c r="H329" s="971"/>
      <c r="I329" s="970"/>
      <c r="J329" s="974"/>
    </row>
    <row r="330" spans="3:10" ht="15.75">
      <c r="C330" s="963"/>
      <c r="D330" s="967"/>
      <c r="E330" s="968"/>
      <c r="F330" s="969"/>
      <c r="G330" s="970"/>
      <c r="H330" s="971"/>
      <c r="I330" s="970"/>
      <c r="J330" s="974"/>
    </row>
    <row r="331" spans="3:10" ht="15.75">
      <c r="C331" s="963"/>
      <c r="D331" s="967"/>
      <c r="E331" s="968"/>
      <c r="F331" s="969"/>
      <c r="G331" s="970"/>
      <c r="H331" s="971"/>
      <c r="I331" s="970"/>
      <c r="J331" s="974"/>
    </row>
    <row r="332" spans="3:10" ht="15.75">
      <c r="C332" s="963"/>
      <c r="D332" s="967"/>
      <c r="E332" s="968"/>
      <c r="F332" s="969"/>
      <c r="G332" s="970"/>
      <c r="H332" s="971"/>
      <c r="I332" s="970"/>
      <c r="J332" s="974"/>
    </row>
    <row r="333" spans="3:10" ht="15.75">
      <c r="C333" s="963"/>
      <c r="D333" s="967"/>
      <c r="E333" s="968"/>
      <c r="F333" s="969"/>
      <c r="G333" s="970"/>
      <c r="H333" s="971"/>
      <c r="I333" s="970"/>
      <c r="J333" s="974"/>
    </row>
    <row r="334" spans="3:10" ht="15.75">
      <c r="C334" s="963"/>
      <c r="D334" s="967"/>
      <c r="E334" s="968"/>
      <c r="F334" s="969"/>
      <c r="G334" s="970"/>
      <c r="H334" s="971"/>
      <c r="I334" s="970"/>
      <c r="J334" s="974"/>
    </row>
    <row r="335" spans="3:10" ht="15.75">
      <c r="C335" s="963"/>
      <c r="D335" s="967"/>
      <c r="E335" s="968"/>
      <c r="F335" s="969"/>
      <c r="G335" s="970"/>
      <c r="H335" s="971"/>
      <c r="I335" s="970"/>
      <c r="J335" s="974"/>
    </row>
    <row r="336" spans="3:10" ht="15.75">
      <c r="C336" s="963"/>
      <c r="D336" s="967"/>
      <c r="E336" s="968"/>
      <c r="F336" s="969"/>
      <c r="G336" s="970"/>
      <c r="H336" s="971"/>
      <c r="I336" s="970"/>
      <c r="J336" s="974"/>
    </row>
    <row r="337" spans="3:10" ht="15.75">
      <c r="C337" s="963"/>
      <c r="D337" s="967"/>
      <c r="E337" s="968"/>
      <c r="F337" s="969"/>
      <c r="G337" s="970"/>
      <c r="H337" s="971"/>
      <c r="I337" s="970"/>
      <c r="J337" s="974"/>
    </row>
    <row r="338" spans="3:10" ht="15.75">
      <c r="C338" s="963"/>
      <c r="D338" s="967"/>
      <c r="E338" s="968"/>
      <c r="F338" s="969"/>
      <c r="G338" s="970"/>
      <c r="H338" s="971"/>
      <c r="I338" s="970"/>
      <c r="J338" s="974"/>
    </row>
    <row r="339" spans="3:10" ht="15.75">
      <c r="C339" s="963"/>
      <c r="D339" s="967"/>
      <c r="E339" s="968"/>
      <c r="F339" s="969"/>
      <c r="G339" s="970"/>
      <c r="H339" s="971"/>
      <c r="I339" s="970"/>
      <c r="J339" s="974"/>
    </row>
    <row r="340" spans="3:10" ht="15.75">
      <c r="C340" s="963"/>
      <c r="D340" s="967"/>
      <c r="E340" s="968"/>
      <c r="F340" s="969"/>
      <c r="G340" s="970"/>
      <c r="H340" s="971"/>
      <c r="I340" s="970"/>
      <c r="J340" s="974"/>
    </row>
    <row r="341" spans="3:10" ht="15.75">
      <c r="C341" s="963"/>
      <c r="D341" s="967"/>
      <c r="E341" s="968"/>
      <c r="F341" s="969"/>
      <c r="G341" s="970"/>
      <c r="H341" s="971"/>
      <c r="I341" s="970"/>
      <c r="J341" s="974"/>
    </row>
    <row r="342" spans="3:10" ht="15.75">
      <c r="C342" s="963"/>
      <c r="D342" s="967"/>
      <c r="E342" s="968"/>
      <c r="F342" s="969"/>
      <c r="G342" s="970"/>
      <c r="H342" s="971"/>
      <c r="I342" s="970"/>
      <c r="J342" s="974"/>
    </row>
    <row r="343" spans="3:10" ht="15.75">
      <c r="C343" s="963"/>
      <c r="D343" s="967"/>
      <c r="E343" s="968"/>
      <c r="F343" s="969"/>
      <c r="G343" s="970"/>
      <c r="H343" s="971"/>
      <c r="I343" s="970"/>
      <c r="J343" s="974"/>
    </row>
    <row r="344" spans="3:10" ht="15.75">
      <c r="C344" s="963"/>
      <c r="D344" s="967"/>
      <c r="E344" s="968"/>
      <c r="F344" s="969"/>
      <c r="G344" s="970"/>
      <c r="H344" s="971"/>
      <c r="I344" s="970"/>
      <c r="J344" s="974"/>
    </row>
    <row r="345" spans="3:10" ht="15.75">
      <c r="C345" s="963"/>
      <c r="D345" s="967"/>
      <c r="E345" s="968"/>
      <c r="F345" s="969"/>
      <c r="G345" s="970"/>
      <c r="H345" s="971"/>
      <c r="I345" s="970"/>
      <c r="J345" s="974"/>
    </row>
    <row r="346" spans="3:10" ht="15.75">
      <c r="C346" s="963"/>
      <c r="D346" s="967"/>
      <c r="E346" s="968"/>
      <c r="F346" s="969"/>
      <c r="G346" s="970"/>
      <c r="H346" s="971"/>
      <c r="I346" s="970"/>
      <c r="J346" s="974"/>
    </row>
    <row r="347" spans="3:10" ht="15.75">
      <c r="C347" s="963"/>
      <c r="D347" s="967"/>
      <c r="E347" s="968"/>
      <c r="F347" s="969"/>
      <c r="G347" s="970"/>
      <c r="H347" s="971"/>
      <c r="I347" s="970"/>
      <c r="J347" s="974"/>
    </row>
    <row r="348" spans="3:10" ht="15.75">
      <c r="C348" s="963"/>
      <c r="D348" s="967"/>
      <c r="E348" s="968"/>
      <c r="F348" s="969"/>
      <c r="G348" s="970"/>
      <c r="H348" s="971"/>
      <c r="I348" s="970"/>
      <c r="J348" s="974"/>
    </row>
    <row r="349" spans="3:10" ht="15.75">
      <c r="C349" s="963"/>
      <c r="D349" s="967"/>
      <c r="E349" s="968"/>
      <c r="F349" s="969"/>
      <c r="G349" s="970"/>
      <c r="H349" s="971"/>
      <c r="I349" s="970"/>
      <c r="J349" s="974"/>
    </row>
    <row r="350" spans="3:10" ht="15.75">
      <c r="C350" s="963"/>
      <c r="D350" s="967"/>
      <c r="E350" s="968"/>
      <c r="F350" s="969"/>
      <c r="G350" s="970"/>
      <c r="H350" s="971"/>
      <c r="I350" s="970"/>
      <c r="J350" s="974"/>
    </row>
    <row r="351" spans="3:10" ht="15.75">
      <c r="C351" s="963"/>
      <c r="D351" s="967"/>
      <c r="E351" s="968"/>
      <c r="F351" s="969"/>
      <c r="G351" s="970"/>
      <c r="H351" s="971"/>
      <c r="I351" s="970"/>
      <c r="J351" s="974"/>
    </row>
    <row r="352" spans="3:10" ht="15.75">
      <c r="C352" s="963"/>
      <c r="D352" s="967"/>
      <c r="E352" s="968"/>
      <c r="F352" s="969"/>
      <c r="G352" s="970"/>
      <c r="H352" s="971"/>
      <c r="I352" s="970"/>
      <c r="J352" s="974"/>
    </row>
    <row r="353" spans="3:10" ht="15.75">
      <c r="C353" s="963"/>
      <c r="D353" s="967"/>
      <c r="E353" s="968"/>
      <c r="F353" s="969"/>
      <c r="G353" s="970"/>
      <c r="H353" s="971"/>
      <c r="I353" s="970"/>
      <c r="J353" s="974"/>
    </row>
    <row r="354" spans="3:10" ht="15.75">
      <c r="C354" s="963"/>
      <c r="D354" s="967"/>
      <c r="E354" s="968"/>
      <c r="F354" s="969"/>
      <c r="G354" s="970"/>
      <c r="H354" s="971"/>
      <c r="I354" s="970"/>
      <c r="J354" s="974"/>
    </row>
    <row r="355" spans="3:10" ht="15.75">
      <c r="C355" s="963"/>
      <c r="D355" s="967"/>
      <c r="E355" s="968"/>
      <c r="F355" s="969"/>
      <c r="G355" s="970"/>
      <c r="H355" s="971"/>
      <c r="I355" s="970"/>
      <c r="J355" s="974"/>
    </row>
    <row r="356" spans="3:10" ht="15.75">
      <c r="C356" s="963"/>
      <c r="D356" s="967"/>
      <c r="E356" s="968"/>
      <c r="F356" s="969"/>
      <c r="G356" s="970"/>
      <c r="H356" s="971"/>
      <c r="I356" s="970"/>
      <c r="J356" s="974"/>
    </row>
    <row r="357" spans="3:10" ht="15.75">
      <c r="C357" s="963"/>
      <c r="D357" s="967"/>
      <c r="E357" s="968"/>
      <c r="F357" s="969"/>
      <c r="G357" s="970"/>
      <c r="H357" s="971"/>
      <c r="I357" s="970"/>
      <c r="J357" s="974"/>
    </row>
    <row r="358" spans="3:10" ht="15.75">
      <c r="C358" s="963"/>
      <c r="D358" s="967"/>
      <c r="E358" s="968"/>
      <c r="F358" s="969"/>
      <c r="G358" s="970"/>
      <c r="H358" s="971"/>
      <c r="I358" s="970"/>
      <c r="J358" s="974"/>
    </row>
    <row r="359" spans="3:10" ht="15.75">
      <c r="C359" s="963"/>
      <c r="D359" s="967"/>
      <c r="E359" s="968"/>
      <c r="F359" s="969"/>
      <c r="G359" s="970"/>
      <c r="H359" s="971"/>
      <c r="I359" s="970"/>
      <c r="J359" s="974"/>
    </row>
    <row r="360" spans="3:10" ht="15.75">
      <c r="C360" s="963"/>
      <c r="D360" s="967"/>
      <c r="E360" s="968"/>
      <c r="F360" s="969"/>
      <c r="G360" s="970"/>
      <c r="H360" s="971"/>
      <c r="I360" s="970"/>
      <c r="J360" s="974"/>
    </row>
    <row r="361" spans="3:10" ht="15.75">
      <c r="C361" s="963"/>
      <c r="D361" s="967"/>
      <c r="E361" s="968"/>
      <c r="F361" s="969"/>
      <c r="G361" s="970"/>
      <c r="H361" s="971"/>
      <c r="I361" s="970"/>
      <c r="J361" s="974"/>
    </row>
    <row r="362" spans="3:10" ht="15.75">
      <c r="C362" s="963"/>
      <c r="D362" s="967"/>
      <c r="E362" s="968"/>
      <c r="F362" s="969"/>
      <c r="G362" s="970"/>
      <c r="H362" s="971"/>
      <c r="I362" s="970"/>
      <c r="J362" s="974"/>
    </row>
    <row r="363" spans="3:10" ht="15.75">
      <c r="C363" s="963"/>
      <c r="D363" s="967"/>
      <c r="E363" s="968"/>
      <c r="F363" s="969"/>
      <c r="G363" s="970"/>
      <c r="H363" s="971"/>
      <c r="I363" s="970"/>
      <c r="J363" s="974"/>
    </row>
    <row r="364" spans="3:10" ht="15.75">
      <c r="C364" s="963"/>
      <c r="D364" s="967"/>
      <c r="E364" s="968"/>
      <c r="F364" s="969"/>
      <c r="G364" s="970"/>
      <c r="H364" s="971"/>
      <c r="I364" s="970"/>
      <c r="J364" s="974"/>
    </row>
    <row r="365" spans="3:10" ht="15.75">
      <c r="C365" s="963"/>
      <c r="D365" s="967"/>
      <c r="E365" s="968"/>
      <c r="F365" s="969"/>
      <c r="G365" s="970"/>
      <c r="H365" s="971"/>
      <c r="I365" s="970"/>
      <c r="J365" s="974"/>
    </row>
    <row r="366" spans="3:10" ht="15.75">
      <c r="C366" s="963"/>
      <c r="D366" s="967"/>
      <c r="E366" s="968"/>
      <c r="F366" s="969"/>
      <c r="G366" s="970"/>
      <c r="H366" s="971"/>
      <c r="I366" s="970"/>
      <c r="J366" s="974"/>
    </row>
    <row r="367" spans="3:10" ht="15.75">
      <c r="C367" s="963"/>
      <c r="D367" s="967"/>
      <c r="E367" s="968"/>
      <c r="F367" s="969"/>
      <c r="G367" s="970"/>
      <c r="H367" s="971"/>
      <c r="I367" s="970"/>
      <c r="J367" s="974"/>
    </row>
    <row r="368" spans="3:10" ht="15.75">
      <c r="C368" s="963"/>
      <c r="D368" s="967"/>
      <c r="E368" s="968"/>
      <c r="F368" s="969"/>
      <c r="G368" s="970"/>
      <c r="H368" s="971"/>
      <c r="I368" s="970"/>
      <c r="J368" s="974"/>
    </row>
    <row r="369" spans="3:10" ht="15.75">
      <c r="C369" s="963"/>
      <c r="D369" s="967"/>
      <c r="E369" s="968"/>
      <c r="F369" s="969"/>
      <c r="G369" s="970"/>
      <c r="H369" s="971"/>
      <c r="I369" s="970"/>
      <c r="J369" s="974"/>
    </row>
    <row r="370" spans="3:10" ht="15.75">
      <c r="C370" s="963"/>
      <c r="D370" s="967"/>
      <c r="E370" s="968"/>
      <c r="F370" s="969"/>
      <c r="G370" s="970"/>
      <c r="H370" s="971"/>
      <c r="I370" s="970"/>
      <c r="J370" s="974"/>
    </row>
    <row r="371" spans="3:10" ht="15.75">
      <c r="C371" s="963"/>
      <c r="D371" s="967"/>
      <c r="E371" s="968"/>
      <c r="F371" s="969"/>
      <c r="G371" s="970"/>
      <c r="H371" s="971"/>
      <c r="I371" s="970"/>
      <c r="J371" s="974"/>
    </row>
    <row r="372" spans="3:10" ht="15.75">
      <c r="C372" s="963"/>
      <c r="D372" s="967"/>
      <c r="E372" s="968"/>
      <c r="F372" s="969"/>
      <c r="G372" s="970"/>
      <c r="H372" s="971"/>
      <c r="I372" s="970"/>
      <c r="J372" s="974"/>
    </row>
    <row r="373" spans="3:10" ht="15.75">
      <c r="C373" s="963"/>
      <c r="D373" s="967"/>
      <c r="E373" s="968"/>
      <c r="F373" s="969"/>
      <c r="G373" s="970"/>
      <c r="H373" s="971"/>
      <c r="I373" s="970"/>
      <c r="J373" s="974"/>
    </row>
    <row r="374" spans="3:10" ht="15.75">
      <c r="C374" s="963"/>
      <c r="D374" s="967"/>
      <c r="E374" s="968"/>
      <c r="F374" s="969"/>
      <c r="G374" s="970"/>
      <c r="H374" s="971"/>
      <c r="I374" s="970"/>
      <c r="J374" s="974"/>
    </row>
    <row r="375" spans="3:10" ht="15.75">
      <c r="C375" s="963"/>
      <c r="D375" s="967"/>
      <c r="E375" s="968"/>
      <c r="F375" s="969"/>
      <c r="G375" s="970"/>
      <c r="H375" s="971"/>
      <c r="I375" s="970"/>
      <c r="J375" s="974"/>
    </row>
    <row r="376" spans="3:10" ht="15.75">
      <c r="C376" s="963"/>
      <c r="D376" s="967"/>
      <c r="E376" s="968"/>
      <c r="F376" s="969"/>
      <c r="G376" s="970"/>
      <c r="H376" s="971"/>
      <c r="I376" s="970"/>
      <c r="J376" s="974"/>
    </row>
    <row r="377" spans="3:10" ht="15.75">
      <c r="C377" s="963"/>
      <c r="D377" s="967"/>
      <c r="E377" s="968"/>
      <c r="F377" s="969"/>
      <c r="G377" s="970"/>
      <c r="H377" s="971"/>
      <c r="I377" s="970"/>
      <c r="J377" s="974"/>
    </row>
    <row r="378" spans="3:10" ht="15.75">
      <c r="C378" s="963"/>
      <c r="D378" s="967"/>
      <c r="E378" s="968"/>
      <c r="F378" s="969"/>
      <c r="G378" s="970"/>
      <c r="H378" s="971"/>
      <c r="I378" s="970"/>
      <c r="J378" s="974"/>
    </row>
    <row r="379" spans="3:10" ht="15.75">
      <c r="C379" s="963"/>
      <c r="D379" s="967"/>
      <c r="E379" s="968"/>
      <c r="F379" s="969"/>
      <c r="G379" s="970"/>
      <c r="H379" s="971"/>
      <c r="I379" s="970"/>
      <c r="J379" s="974"/>
    </row>
    <row r="380" spans="3:10" ht="15.75">
      <c r="C380" s="963"/>
      <c r="D380" s="967"/>
      <c r="E380" s="968"/>
      <c r="F380" s="969"/>
      <c r="G380" s="970"/>
      <c r="H380" s="971"/>
      <c r="I380" s="970"/>
      <c r="J380" s="974"/>
    </row>
    <row r="381" spans="3:10" ht="15.75">
      <c r="C381" s="963"/>
      <c r="D381" s="967"/>
      <c r="E381" s="968"/>
      <c r="F381" s="969"/>
      <c r="G381" s="970"/>
      <c r="H381" s="971"/>
      <c r="I381" s="970"/>
      <c r="J381" s="974"/>
    </row>
    <row r="382" spans="3:10" ht="15.75">
      <c r="C382" s="963"/>
      <c r="D382" s="967"/>
      <c r="E382" s="968"/>
      <c r="F382" s="969"/>
      <c r="G382" s="970"/>
      <c r="H382" s="971"/>
      <c r="I382" s="970"/>
      <c r="J382" s="974"/>
    </row>
    <row r="383" spans="3:10" ht="15.75">
      <c r="C383" s="963"/>
      <c r="D383" s="967"/>
      <c r="E383" s="968"/>
      <c r="F383" s="969"/>
      <c r="G383" s="970"/>
      <c r="H383" s="971"/>
      <c r="I383" s="970"/>
      <c r="J383" s="974"/>
    </row>
    <row r="384" spans="3:10" ht="15.75">
      <c r="C384" s="963"/>
      <c r="D384" s="967"/>
      <c r="E384" s="968"/>
      <c r="F384" s="969"/>
      <c r="G384" s="970"/>
      <c r="H384" s="971"/>
      <c r="I384" s="970"/>
      <c r="J384" s="974"/>
    </row>
    <row r="385" spans="3:10" ht="15.75">
      <c r="C385" s="963"/>
      <c r="D385" s="967"/>
      <c r="E385" s="968"/>
      <c r="F385" s="969"/>
      <c r="G385" s="970"/>
      <c r="H385" s="971"/>
      <c r="I385" s="970"/>
      <c r="J385" s="974"/>
    </row>
    <row r="386" spans="3:10" ht="15.75">
      <c r="C386" s="963"/>
      <c r="D386" s="967"/>
      <c r="E386" s="968"/>
      <c r="F386" s="969"/>
      <c r="G386" s="970"/>
      <c r="H386" s="971"/>
      <c r="I386" s="970"/>
      <c r="J386" s="974"/>
    </row>
    <row r="387" spans="3:10" ht="15.75">
      <c r="C387" s="963"/>
      <c r="D387" s="967"/>
      <c r="E387" s="968"/>
      <c r="F387" s="969"/>
      <c r="G387" s="970"/>
      <c r="H387" s="971"/>
      <c r="I387" s="970"/>
      <c r="J387" s="974"/>
    </row>
    <row r="388" spans="3:10" ht="15.75">
      <c r="C388" s="963"/>
      <c r="D388" s="967"/>
      <c r="E388" s="968"/>
      <c r="F388" s="969"/>
      <c r="G388" s="970"/>
      <c r="H388" s="971"/>
      <c r="I388" s="970"/>
      <c r="J388" s="974"/>
    </row>
    <row r="389" spans="3:10" ht="15.75">
      <c r="C389" s="963"/>
      <c r="D389" s="967"/>
      <c r="E389" s="968"/>
      <c r="F389" s="969"/>
      <c r="G389" s="970"/>
      <c r="H389" s="971"/>
      <c r="I389" s="970"/>
      <c r="J389" s="974"/>
    </row>
    <row r="390" spans="3:10" ht="15.75">
      <c r="C390" s="963"/>
      <c r="D390" s="967"/>
      <c r="E390" s="968"/>
      <c r="F390" s="969"/>
      <c r="G390" s="970"/>
      <c r="H390" s="971"/>
      <c r="I390" s="970"/>
      <c r="J390" s="974"/>
    </row>
    <row r="391" spans="3:10" ht="15.75">
      <c r="C391" s="963"/>
      <c r="D391" s="967"/>
      <c r="E391" s="968"/>
      <c r="F391" s="969"/>
      <c r="G391" s="970"/>
      <c r="H391" s="971"/>
      <c r="I391" s="970"/>
      <c r="J391" s="974"/>
    </row>
    <row r="392" spans="3:10" ht="15.75">
      <c r="C392" s="963"/>
      <c r="D392" s="967"/>
      <c r="E392" s="968"/>
      <c r="F392" s="969"/>
      <c r="G392" s="970"/>
      <c r="H392" s="971"/>
      <c r="I392" s="970"/>
      <c r="J392" s="974"/>
    </row>
    <row r="393" spans="3:10" ht="15.75">
      <c r="C393" s="963"/>
      <c r="D393" s="967"/>
      <c r="E393" s="968"/>
      <c r="F393" s="969"/>
      <c r="G393" s="970"/>
      <c r="H393" s="971"/>
      <c r="I393" s="970"/>
      <c r="J393" s="974"/>
    </row>
    <row r="394" spans="3:10" ht="15.75">
      <c r="C394" s="963"/>
      <c r="D394" s="967"/>
      <c r="E394" s="968"/>
      <c r="F394" s="969"/>
      <c r="G394" s="970"/>
      <c r="H394" s="971"/>
      <c r="I394" s="970"/>
      <c r="J394" s="974"/>
    </row>
    <row r="395" spans="3:10" ht="15.75">
      <c r="C395" s="963"/>
      <c r="D395" s="967"/>
      <c r="E395" s="968"/>
      <c r="F395" s="969"/>
      <c r="G395" s="970"/>
      <c r="H395" s="971"/>
      <c r="I395" s="970"/>
      <c r="J395" s="974"/>
    </row>
    <row r="396" spans="3:10" ht="15.75">
      <c r="C396" s="963"/>
      <c r="D396" s="967"/>
      <c r="E396" s="968"/>
      <c r="F396" s="969"/>
      <c r="G396" s="970"/>
      <c r="H396" s="971"/>
      <c r="I396" s="970"/>
      <c r="J396" s="974"/>
    </row>
    <row r="397" spans="3:10" ht="15.75">
      <c r="C397" s="963"/>
      <c r="D397" s="967"/>
      <c r="E397" s="968"/>
      <c r="F397" s="969"/>
      <c r="G397" s="970"/>
      <c r="H397" s="971"/>
      <c r="I397" s="970"/>
      <c r="J397" s="974"/>
    </row>
    <row r="398" spans="3:10" ht="15.75">
      <c r="C398" s="963"/>
      <c r="D398" s="967"/>
      <c r="E398" s="968"/>
      <c r="F398" s="969"/>
      <c r="G398" s="970"/>
      <c r="H398" s="971"/>
      <c r="I398" s="970"/>
      <c r="J398" s="974"/>
    </row>
    <row r="399" spans="3:10" ht="15.75">
      <c r="C399" s="963"/>
      <c r="D399" s="967"/>
      <c r="E399" s="968"/>
      <c r="F399" s="969"/>
      <c r="G399" s="970"/>
      <c r="H399" s="971"/>
      <c r="I399" s="970"/>
      <c r="J399" s="974"/>
    </row>
    <row r="400" spans="3:10" ht="15.75">
      <c r="C400" s="963"/>
      <c r="D400" s="967"/>
      <c r="E400" s="968"/>
      <c r="F400" s="969"/>
      <c r="G400" s="970"/>
      <c r="H400" s="971"/>
      <c r="I400" s="970"/>
      <c r="J400" s="974"/>
    </row>
    <row r="401" spans="3:10" ht="15.75">
      <c r="C401" s="963"/>
      <c r="D401" s="967"/>
      <c r="E401" s="968"/>
      <c r="F401" s="969"/>
      <c r="G401" s="970"/>
      <c r="H401" s="971"/>
      <c r="I401" s="970"/>
      <c r="J401" s="974"/>
    </row>
    <row r="402" spans="3:10" ht="15.75">
      <c r="C402" s="963"/>
      <c r="D402" s="967"/>
      <c r="E402" s="968"/>
      <c r="F402" s="969"/>
      <c r="G402" s="970"/>
      <c r="H402" s="971"/>
      <c r="I402" s="970"/>
      <c r="J402" s="974"/>
    </row>
    <row r="403" spans="3:10" ht="15.75">
      <c r="C403" s="963"/>
      <c r="D403" s="967"/>
      <c r="E403" s="968"/>
      <c r="F403" s="969"/>
      <c r="G403" s="970"/>
      <c r="H403" s="971"/>
      <c r="I403" s="970"/>
      <c r="J403" s="974"/>
    </row>
    <row r="404" spans="3:10" ht="15.75">
      <c r="C404" s="963"/>
      <c r="D404" s="967"/>
      <c r="E404" s="968"/>
      <c r="F404" s="969"/>
      <c r="G404" s="970"/>
      <c r="H404" s="971"/>
      <c r="I404" s="970"/>
      <c r="J404" s="974"/>
    </row>
    <row r="405" spans="3:10" ht="15.75">
      <c r="C405" s="963"/>
      <c r="D405" s="967"/>
      <c r="E405" s="968"/>
      <c r="F405" s="969"/>
      <c r="G405" s="970"/>
      <c r="H405" s="971"/>
      <c r="I405" s="970"/>
      <c r="J405" s="974"/>
    </row>
    <row r="406" spans="3:10" ht="15.75">
      <c r="C406" s="963"/>
      <c r="D406" s="967"/>
      <c r="E406" s="968"/>
      <c r="F406" s="969"/>
      <c r="G406" s="970"/>
      <c r="H406" s="971"/>
      <c r="I406" s="970"/>
      <c r="J406" s="974"/>
    </row>
    <row r="407" spans="3:10" ht="15.75">
      <c r="C407" s="963"/>
      <c r="D407" s="967"/>
      <c r="E407" s="968"/>
      <c r="F407" s="969"/>
      <c r="G407" s="970"/>
      <c r="H407" s="971"/>
      <c r="I407" s="970"/>
      <c r="J407" s="974"/>
    </row>
    <row r="408" spans="3:10" ht="15.75">
      <c r="C408" s="963"/>
      <c r="D408" s="967"/>
      <c r="E408" s="968"/>
      <c r="F408" s="969"/>
      <c r="G408" s="970"/>
      <c r="H408" s="971"/>
      <c r="I408" s="970"/>
      <c r="J408" s="974"/>
    </row>
    <row r="409" spans="3:10" ht="15.75">
      <c r="C409" s="963"/>
      <c r="D409" s="967"/>
      <c r="E409" s="968"/>
      <c r="F409" s="969"/>
      <c r="G409" s="970"/>
      <c r="H409" s="971"/>
      <c r="I409" s="970"/>
      <c r="J409" s="974"/>
    </row>
    <row r="410" spans="3:10" ht="15.75">
      <c r="C410" s="963"/>
      <c r="D410" s="967"/>
      <c r="E410" s="968"/>
      <c r="F410" s="969"/>
      <c r="G410" s="970"/>
      <c r="H410" s="971"/>
      <c r="I410" s="970"/>
      <c r="J410" s="974"/>
    </row>
    <row r="411" spans="3:10" ht="15.75">
      <c r="C411" s="963"/>
      <c r="D411" s="967"/>
      <c r="E411" s="968"/>
      <c r="F411" s="969"/>
      <c r="G411" s="970"/>
      <c r="H411" s="971"/>
      <c r="I411" s="970"/>
      <c r="J411" s="974"/>
    </row>
    <row r="412" spans="3:10" ht="15.75">
      <c r="C412" s="963"/>
      <c r="D412" s="967"/>
      <c r="E412" s="968"/>
      <c r="F412" s="969"/>
      <c r="G412" s="970"/>
      <c r="H412" s="971"/>
      <c r="I412" s="970"/>
      <c r="J412" s="974"/>
    </row>
    <row r="413" spans="3:10" ht="15.75">
      <c r="C413" s="963"/>
      <c r="D413" s="967"/>
      <c r="E413" s="968"/>
      <c r="F413" s="969"/>
      <c r="G413" s="970"/>
      <c r="H413" s="971"/>
      <c r="I413" s="970"/>
      <c r="J413" s="974"/>
    </row>
    <row r="414" spans="3:10" ht="15.75">
      <c r="C414" s="963"/>
      <c r="D414" s="967"/>
      <c r="E414" s="968"/>
      <c r="F414" s="969"/>
      <c r="G414" s="970"/>
      <c r="H414" s="971"/>
      <c r="I414" s="970"/>
      <c r="J414" s="974"/>
    </row>
    <row r="415" spans="3:10" ht="15.75">
      <c r="C415" s="963"/>
      <c r="D415" s="967"/>
      <c r="E415" s="968"/>
      <c r="F415" s="969"/>
      <c r="G415" s="970"/>
      <c r="H415" s="971"/>
      <c r="I415" s="970"/>
      <c r="J415" s="974"/>
    </row>
    <row r="416" spans="3:10" ht="15.75">
      <c r="C416" s="963"/>
      <c r="D416" s="967"/>
      <c r="E416" s="968"/>
      <c r="F416" s="969"/>
      <c r="G416" s="970"/>
      <c r="H416" s="971"/>
      <c r="I416" s="970"/>
      <c r="J416" s="974"/>
    </row>
    <row r="417" spans="3:10" ht="15.75">
      <c r="C417" s="963"/>
      <c r="D417" s="967"/>
      <c r="E417" s="968"/>
      <c r="F417" s="969"/>
      <c r="G417" s="970"/>
      <c r="H417" s="971"/>
      <c r="I417" s="970"/>
      <c r="J417" s="974"/>
    </row>
    <row r="418" spans="3:10" ht="15.75">
      <c r="C418" s="963"/>
      <c r="D418" s="967"/>
      <c r="E418" s="968"/>
      <c r="F418" s="969"/>
      <c r="G418" s="970"/>
      <c r="H418" s="971"/>
      <c r="I418" s="970"/>
      <c r="J418" s="974"/>
    </row>
    <row r="419" spans="3:10" ht="15.75">
      <c r="C419" s="963"/>
      <c r="D419" s="967"/>
      <c r="E419" s="968"/>
      <c r="F419" s="969"/>
      <c r="G419" s="970"/>
      <c r="H419" s="971"/>
      <c r="I419" s="970"/>
      <c r="J419" s="974"/>
    </row>
    <row r="420" spans="3:10" ht="15.75">
      <c r="C420" s="963"/>
      <c r="D420" s="967"/>
      <c r="E420" s="968"/>
      <c r="F420" s="969"/>
      <c r="G420" s="970"/>
      <c r="H420" s="971"/>
      <c r="I420" s="970"/>
      <c r="J420" s="974"/>
    </row>
    <row r="421" spans="3:10" ht="15.75">
      <c r="C421" s="963"/>
      <c r="D421" s="967"/>
      <c r="E421" s="968"/>
      <c r="F421" s="969"/>
      <c r="G421" s="970"/>
      <c r="H421" s="971"/>
      <c r="I421" s="970"/>
      <c r="J421" s="974"/>
    </row>
    <row r="422" spans="3:10" ht="15.75">
      <c r="C422" s="963"/>
      <c r="D422" s="967"/>
      <c r="E422" s="968"/>
      <c r="F422" s="969"/>
      <c r="G422" s="970"/>
      <c r="H422" s="971"/>
      <c r="I422" s="970"/>
      <c r="J422" s="974"/>
    </row>
    <row r="423" spans="3:10" ht="15.75">
      <c r="C423" s="963"/>
      <c r="D423" s="967"/>
      <c r="E423" s="968"/>
      <c r="F423" s="969"/>
      <c r="G423" s="970"/>
      <c r="H423" s="971"/>
      <c r="I423" s="970"/>
      <c r="J423" s="974"/>
    </row>
    <row r="424" spans="3:10" ht="15.75">
      <c r="C424" s="963"/>
      <c r="D424" s="967"/>
      <c r="E424" s="968"/>
      <c r="F424" s="969"/>
      <c r="G424" s="970"/>
      <c r="H424" s="971"/>
      <c r="I424" s="970"/>
      <c r="J424" s="974"/>
    </row>
    <row r="425" spans="3:10" ht="15.75">
      <c r="C425" s="963"/>
      <c r="D425" s="967"/>
      <c r="E425" s="968"/>
      <c r="F425" s="969"/>
      <c r="G425" s="970"/>
      <c r="H425" s="971"/>
      <c r="I425" s="970"/>
      <c r="J425" s="974"/>
    </row>
    <row r="426" spans="3:10" ht="15.75">
      <c r="C426" s="963"/>
      <c r="D426" s="967"/>
      <c r="E426" s="968"/>
      <c r="F426" s="969"/>
      <c r="G426" s="970"/>
      <c r="H426" s="971"/>
      <c r="I426" s="970"/>
      <c r="J426" s="974"/>
    </row>
    <row r="427" spans="3:10" ht="15.75">
      <c r="C427" s="963"/>
      <c r="D427" s="967"/>
      <c r="E427" s="968"/>
      <c r="F427" s="969"/>
      <c r="G427" s="970"/>
      <c r="H427" s="971"/>
      <c r="I427" s="970"/>
      <c r="J427" s="974"/>
    </row>
    <row r="428" spans="3:10" ht="15.75">
      <c r="C428" s="963"/>
      <c r="D428" s="967"/>
      <c r="E428" s="968"/>
      <c r="F428" s="969"/>
      <c r="G428" s="970"/>
      <c r="H428" s="971"/>
      <c r="I428" s="970"/>
      <c r="J428" s="974"/>
    </row>
    <row r="429" spans="3:10" ht="15.75">
      <c r="C429" s="963"/>
      <c r="D429" s="967"/>
      <c r="E429" s="968"/>
      <c r="F429" s="969"/>
      <c r="G429" s="970"/>
      <c r="H429" s="971"/>
      <c r="I429" s="970"/>
      <c r="J429" s="974"/>
    </row>
    <row r="430" spans="3:10" ht="15.75">
      <c r="C430" s="963"/>
      <c r="D430" s="967"/>
      <c r="E430" s="968"/>
      <c r="F430" s="969"/>
      <c r="G430" s="970"/>
      <c r="H430" s="971"/>
      <c r="I430" s="970"/>
      <c r="J430" s="974"/>
    </row>
    <row r="431" spans="3:10" ht="15.75">
      <c r="C431" s="963"/>
      <c r="D431" s="967"/>
      <c r="E431" s="968"/>
      <c r="F431" s="969"/>
      <c r="G431" s="970"/>
      <c r="H431" s="971"/>
      <c r="I431" s="970"/>
      <c r="J431" s="974"/>
    </row>
    <row r="432" spans="3:10" ht="15.75">
      <c r="C432" s="963"/>
      <c r="D432" s="967"/>
      <c r="E432" s="968"/>
      <c r="F432" s="969"/>
      <c r="G432" s="970"/>
      <c r="H432" s="971"/>
      <c r="I432" s="970"/>
      <c r="J432" s="974"/>
    </row>
    <row r="433" spans="3:10" ht="15.75">
      <c r="C433" s="963"/>
      <c r="D433" s="967"/>
      <c r="E433" s="968"/>
      <c r="F433" s="969"/>
      <c r="G433" s="970"/>
      <c r="H433" s="971"/>
      <c r="I433" s="970"/>
      <c r="J433" s="974"/>
    </row>
    <row r="434" spans="3:10" ht="15.75">
      <c r="C434" s="963"/>
      <c r="D434" s="967"/>
      <c r="E434" s="968"/>
      <c r="F434" s="969"/>
      <c r="G434" s="970"/>
      <c r="H434" s="971"/>
      <c r="I434" s="970"/>
      <c r="J434" s="974"/>
    </row>
    <row r="435" spans="3:10" ht="15.75">
      <c r="C435" s="963"/>
      <c r="D435" s="967"/>
      <c r="E435" s="968"/>
      <c r="F435" s="969"/>
      <c r="G435" s="970"/>
      <c r="H435" s="971"/>
      <c r="I435" s="970"/>
      <c r="J435" s="974"/>
    </row>
    <row r="436" spans="3:10" ht="15.75">
      <c r="C436" s="963"/>
      <c r="D436" s="967"/>
      <c r="E436" s="968"/>
      <c r="F436" s="969"/>
      <c r="G436" s="970"/>
      <c r="H436" s="971"/>
      <c r="I436" s="970"/>
      <c r="J436" s="974"/>
    </row>
    <row r="437" spans="3:10" ht="15.75">
      <c r="C437" s="963"/>
      <c r="D437" s="967"/>
      <c r="E437" s="968"/>
      <c r="F437" s="969"/>
      <c r="G437" s="970"/>
      <c r="H437" s="971"/>
      <c r="I437" s="970"/>
      <c r="J437" s="974"/>
    </row>
    <row r="438" spans="3:10" ht="15.75">
      <c r="C438" s="963"/>
      <c r="D438" s="967"/>
      <c r="E438" s="968"/>
      <c r="F438" s="969"/>
      <c r="G438" s="970"/>
      <c r="H438" s="971"/>
      <c r="I438" s="970"/>
      <c r="J438" s="974"/>
    </row>
    <row r="439" spans="3:10" ht="15.75">
      <c r="C439" s="963"/>
      <c r="D439" s="967"/>
      <c r="E439" s="968"/>
      <c r="F439" s="969"/>
      <c r="G439" s="970"/>
      <c r="H439" s="971"/>
      <c r="I439" s="970"/>
      <c r="J439" s="974"/>
    </row>
    <row r="440" spans="3:10" ht="15.75">
      <c r="C440" s="963"/>
      <c r="D440" s="967"/>
      <c r="E440" s="968"/>
      <c r="F440" s="969"/>
      <c r="G440" s="970"/>
      <c r="H440" s="971"/>
      <c r="I440" s="970"/>
      <c r="J440" s="974"/>
    </row>
    <row r="441" spans="3:10" ht="15.75">
      <c r="C441" s="963"/>
      <c r="D441" s="967"/>
      <c r="E441" s="968"/>
      <c r="F441" s="969"/>
      <c r="G441" s="970"/>
      <c r="H441" s="971"/>
      <c r="I441" s="970"/>
      <c r="J441" s="974"/>
    </row>
    <row r="442" spans="3:10" ht="15.75">
      <c r="C442" s="963"/>
      <c r="D442" s="967"/>
      <c r="E442" s="968"/>
      <c r="F442" s="969"/>
      <c r="G442" s="970"/>
      <c r="H442" s="971"/>
      <c r="I442" s="970"/>
      <c r="J442" s="974"/>
    </row>
    <row r="443" spans="3:10" ht="15.75">
      <c r="C443" s="963"/>
      <c r="D443" s="967"/>
      <c r="E443" s="968"/>
      <c r="F443" s="969"/>
      <c r="G443" s="970"/>
      <c r="H443" s="971"/>
      <c r="I443" s="970"/>
      <c r="J443" s="974"/>
    </row>
    <row r="444" spans="3:10" ht="15.75">
      <c r="C444" s="963"/>
      <c r="D444" s="967"/>
      <c r="E444" s="968"/>
      <c r="F444" s="969"/>
      <c r="G444" s="970"/>
      <c r="H444" s="971"/>
      <c r="I444" s="970"/>
      <c r="J444" s="974"/>
    </row>
    <row r="445" spans="3:10" ht="15.75">
      <c r="C445" s="963"/>
      <c r="D445" s="967"/>
      <c r="E445" s="968"/>
      <c r="F445" s="969"/>
      <c r="G445" s="970"/>
      <c r="H445" s="971"/>
      <c r="I445" s="970"/>
      <c r="J445" s="974"/>
    </row>
    <row r="446" spans="3:10" ht="15.75">
      <c r="C446" s="963"/>
      <c r="D446" s="967"/>
      <c r="E446" s="968"/>
      <c r="F446" s="969"/>
      <c r="G446" s="970"/>
      <c r="H446" s="971"/>
      <c r="I446" s="970"/>
      <c r="J446" s="974"/>
    </row>
    <row r="447" spans="3:10" ht="15.75">
      <c r="C447" s="963"/>
      <c r="D447" s="967"/>
      <c r="E447" s="968"/>
      <c r="F447" s="969"/>
      <c r="G447" s="970"/>
      <c r="H447" s="971"/>
      <c r="I447" s="970"/>
      <c r="J447" s="974"/>
    </row>
    <row r="448" spans="3:10" ht="15.75">
      <c r="C448" s="963"/>
      <c r="D448" s="967"/>
      <c r="E448" s="968"/>
      <c r="F448" s="969"/>
      <c r="G448" s="970"/>
      <c r="H448" s="971"/>
      <c r="I448" s="970"/>
      <c r="J448" s="974"/>
    </row>
    <row r="449" spans="3:10" ht="15.75">
      <c r="C449" s="963"/>
      <c r="D449" s="967"/>
      <c r="E449" s="968"/>
      <c r="F449" s="969"/>
      <c r="G449" s="970"/>
      <c r="H449" s="971"/>
      <c r="I449" s="970"/>
      <c r="J449" s="974"/>
    </row>
    <row r="450" spans="3:10" ht="15.75">
      <c r="C450" s="963"/>
      <c r="D450" s="967"/>
      <c r="E450" s="968"/>
      <c r="F450" s="969"/>
      <c r="G450" s="970"/>
      <c r="H450" s="971"/>
      <c r="I450" s="970"/>
      <c r="J450" s="974"/>
    </row>
    <row r="451" spans="3:10" ht="15.75">
      <c r="C451" s="963"/>
      <c r="D451" s="967"/>
      <c r="E451" s="968"/>
      <c r="F451" s="969"/>
      <c r="G451" s="970"/>
      <c r="H451" s="971"/>
      <c r="I451" s="970"/>
      <c r="J451" s="974"/>
    </row>
    <row r="452" spans="3:10" ht="15.75">
      <c r="C452" s="963"/>
      <c r="D452" s="967"/>
      <c r="E452" s="968"/>
      <c r="F452" s="969"/>
      <c r="G452" s="970"/>
      <c r="H452" s="971"/>
      <c r="I452" s="970"/>
      <c r="J452" s="974"/>
    </row>
    <row r="453" spans="3:10" ht="15.75">
      <c r="C453" s="963"/>
      <c r="D453" s="967"/>
      <c r="E453" s="968"/>
      <c r="F453" s="969"/>
      <c r="G453" s="970"/>
      <c r="H453" s="971"/>
      <c r="I453" s="970"/>
      <c r="J453" s="974"/>
    </row>
    <row r="454" spans="3:10" ht="15.75">
      <c r="C454" s="963"/>
      <c r="D454" s="967"/>
      <c r="E454" s="968"/>
      <c r="F454" s="969"/>
      <c r="G454" s="970"/>
      <c r="H454" s="971"/>
      <c r="I454" s="970"/>
      <c r="J454" s="974"/>
    </row>
    <row r="455" spans="3:10" ht="15.75">
      <c r="C455" s="963"/>
      <c r="D455" s="967"/>
      <c r="E455" s="968"/>
      <c r="F455" s="969"/>
      <c r="G455" s="970"/>
      <c r="H455" s="971"/>
      <c r="I455" s="970"/>
      <c r="J455" s="974"/>
    </row>
    <row r="456" spans="3:10" ht="15.75">
      <c r="C456" s="963"/>
      <c r="D456" s="967"/>
      <c r="E456" s="968"/>
      <c r="F456" s="969"/>
      <c r="G456" s="970"/>
      <c r="H456" s="971"/>
      <c r="I456" s="970"/>
      <c r="J456" s="974"/>
    </row>
    <row r="457" spans="3:10" ht="15.75">
      <c r="C457" s="963"/>
      <c r="D457" s="967"/>
      <c r="E457" s="968"/>
      <c r="F457" s="969"/>
      <c r="G457" s="970"/>
      <c r="H457" s="971"/>
      <c r="I457" s="970"/>
      <c r="J457" s="974"/>
    </row>
    <row r="458" spans="3:10" ht="15.75">
      <c r="C458" s="963"/>
      <c r="D458" s="967"/>
      <c r="E458" s="968"/>
      <c r="F458" s="969"/>
      <c r="G458" s="970"/>
      <c r="H458" s="971"/>
      <c r="I458" s="970"/>
      <c r="J458" s="974"/>
    </row>
    <row r="459" spans="3:10" ht="15.75">
      <c r="C459" s="963"/>
      <c r="D459" s="967"/>
      <c r="E459" s="968"/>
      <c r="F459" s="969"/>
      <c r="G459" s="970"/>
      <c r="H459" s="971"/>
      <c r="I459" s="970"/>
      <c r="J459" s="974"/>
    </row>
    <row r="460" spans="3:10" ht="15.75">
      <c r="C460" s="963"/>
      <c r="D460" s="967"/>
      <c r="E460" s="968"/>
      <c r="F460" s="969"/>
      <c r="G460" s="970"/>
      <c r="H460" s="971"/>
      <c r="I460" s="970"/>
      <c r="J460" s="974"/>
    </row>
    <row r="461" spans="3:10" ht="15.75">
      <c r="C461" s="963"/>
      <c r="D461" s="967"/>
      <c r="E461" s="968"/>
      <c r="F461" s="969"/>
      <c r="G461" s="970"/>
      <c r="H461" s="971"/>
      <c r="I461" s="970"/>
      <c r="J461" s="974"/>
    </row>
    <row r="462" spans="3:10" ht="15.75">
      <c r="C462" s="963"/>
      <c r="D462" s="967"/>
      <c r="E462" s="968"/>
      <c r="F462" s="969"/>
      <c r="G462" s="970"/>
      <c r="H462" s="971"/>
      <c r="I462" s="970"/>
      <c r="J462" s="974"/>
    </row>
    <row r="463" spans="3:10" ht="15.75">
      <c r="C463" s="963"/>
      <c r="D463" s="967"/>
      <c r="E463" s="968"/>
      <c r="F463" s="969"/>
      <c r="G463" s="970"/>
      <c r="H463" s="971"/>
      <c r="I463" s="970"/>
      <c r="J463" s="974"/>
    </row>
    <row r="464" spans="3:10" ht="15.75">
      <c r="C464" s="963"/>
      <c r="D464" s="967"/>
      <c r="E464" s="968"/>
      <c r="F464" s="969"/>
      <c r="G464" s="970"/>
      <c r="H464" s="971"/>
      <c r="I464" s="970"/>
      <c r="J464" s="974"/>
    </row>
    <row r="465" spans="3:10" ht="15.75">
      <c r="C465" s="963"/>
      <c r="D465" s="967"/>
      <c r="E465" s="968"/>
      <c r="F465" s="969"/>
      <c r="G465" s="970"/>
      <c r="H465" s="971"/>
      <c r="I465" s="970"/>
      <c r="J465" s="974"/>
    </row>
    <row r="466" spans="3:10" ht="15.75">
      <c r="C466" s="963"/>
      <c r="D466" s="967"/>
      <c r="E466" s="968"/>
      <c r="F466" s="969"/>
      <c r="G466" s="970"/>
      <c r="H466" s="971"/>
      <c r="I466" s="970"/>
      <c r="J466" s="974"/>
    </row>
    <row r="467" spans="3:10" ht="15.75">
      <c r="C467" s="963"/>
      <c r="D467" s="967"/>
      <c r="E467" s="968"/>
      <c r="F467" s="969"/>
      <c r="G467" s="970"/>
      <c r="H467" s="971"/>
      <c r="I467" s="970"/>
      <c r="J467" s="974"/>
    </row>
    <row r="468" spans="3:10" ht="15.75">
      <c r="C468" s="963"/>
      <c r="D468" s="967"/>
      <c r="E468" s="968"/>
      <c r="F468" s="969"/>
      <c r="G468" s="970"/>
      <c r="H468" s="971"/>
      <c r="I468" s="970"/>
      <c r="J468" s="974"/>
    </row>
    <row r="469" spans="3:10" ht="15.75">
      <c r="C469" s="963"/>
      <c r="D469" s="967"/>
      <c r="E469" s="968"/>
      <c r="F469" s="969"/>
      <c r="G469" s="970"/>
      <c r="H469" s="971"/>
      <c r="I469" s="970"/>
      <c r="J469" s="974"/>
    </row>
    <row r="470" spans="3:10" ht="15.75">
      <c r="C470" s="963"/>
      <c r="D470" s="967"/>
      <c r="E470" s="968"/>
      <c r="F470" s="969"/>
      <c r="G470" s="970"/>
      <c r="H470" s="971"/>
      <c r="I470" s="970"/>
      <c r="J470" s="974"/>
    </row>
    <row r="471" spans="3:10" ht="15.75">
      <c r="C471" s="963"/>
      <c r="D471" s="967"/>
      <c r="E471" s="968"/>
      <c r="F471" s="969"/>
      <c r="G471" s="970"/>
      <c r="H471" s="971"/>
      <c r="I471" s="970"/>
      <c r="J471" s="974"/>
    </row>
    <row r="472" spans="3:10" ht="15.75">
      <c r="C472" s="963"/>
      <c r="D472" s="967"/>
      <c r="E472" s="968"/>
      <c r="F472" s="969"/>
      <c r="G472" s="970"/>
      <c r="H472" s="971"/>
      <c r="I472" s="970"/>
      <c r="J472" s="974"/>
    </row>
    <row r="473" spans="3:10" ht="15.75">
      <c r="C473" s="963"/>
      <c r="D473" s="967"/>
      <c r="E473" s="968"/>
      <c r="F473" s="969"/>
      <c r="G473" s="970"/>
      <c r="H473" s="971"/>
      <c r="I473" s="970"/>
      <c r="J473" s="974"/>
    </row>
    <row r="474" spans="3:10" ht="15.75">
      <c r="C474" s="963"/>
      <c r="D474" s="967"/>
      <c r="E474" s="968"/>
      <c r="F474" s="969"/>
      <c r="G474" s="970"/>
      <c r="H474" s="971"/>
      <c r="I474" s="970"/>
      <c r="J474" s="974"/>
    </row>
    <row r="475" spans="3:10" ht="15.75">
      <c r="C475" s="963"/>
      <c r="D475" s="967"/>
      <c r="E475" s="968"/>
      <c r="F475" s="969"/>
      <c r="G475" s="970"/>
      <c r="H475" s="971"/>
      <c r="I475" s="970"/>
      <c r="J475" s="974"/>
    </row>
    <row r="476" spans="3:10" ht="15.75">
      <c r="C476" s="963"/>
      <c r="D476" s="967"/>
      <c r="E476" s="968"/>
      <c r="F476" s="969"/>
      <c r="G476" s="970"/>
      <c r="H476" s="971"/>
      <c r="I476" s="970"/>
      <c r="J476" s="974"/>
    </row>
    <row r="477" spans="3:10" ht="15.75">
      <c r="C477" s="963"/>
      <c r="D477" s="967"/>
      <c r="E477" s="968"/>
      <c r="F477" s="969"/>
      <c r="G477" s="970"/>
      <c r="H477" s="971"/>
      <c r="I477" s="970"/>
      <c r="J477" s="974"/>
    </row>
    <row r="478" spans="3:10" ht="15.75">
      <c r="C478" s="963"/>
      <c r="D478" s="967"/>
      <c r="E478" s="968"/>
      <c r="F478" s="969"/>
      <c r="G478" s="970"/>
      <c r="H478" s="971"/>
      <c r="I478" s="970"/>
      <c r="J478" s="974"/>
    </row>
    <row r="479" spans="3:10" ht="15.75">
      <c r="C479" s="963"/>
      <c r="D479" s="967"/>
      <c r="E479" s="968"/>
      <c r="F479" s="969"/>
      <c r="G479" s="970"/>
      <c r="H479" s="971"/>
      <c r="I479" s="970"/>
      <c r="J479" s="974"/>
    </row>
    <row r="480" spans="3:10" ht="15.75">
      <c r="C480" s="963"/>
      <c r="D480" s="967"/>
      <c r="E480" s="968"/>
      <c r="F480" s="969"/>
      <c r="G480" s="970"/>
      <c r="H480" s="971"/>
      <c r="I480" s="970"/>
      <c r="J480" s="974"/>
    </row>
    <row r="481" spans="3:10" ht="15.75">
      <c r="C481" s="963"/>
      <c r="D481" s="967"/>
      <c r="E481" s="968"/>
      <c r="F481" s="969"/>
      <c r="G481" s="970"/>
      <c r="H481" s="971"/>
      <c r="I481" s="970"/>
      <c r="J481" s="974"/>
    </row>
    <row r="482" spans="3:10" ht="15.75">
      <c r="C482" s="963"/>
      <c r="D482" s="967"/>
      <c r="E482" s="968"/>
      <c r="F482" s="969"/>
      <c r="G482" s="970"/>
      <c r="H482" s="971"/>
      <c r="I482" s="970"/>
      <c r="J482" s="974"/>
    </row>
    <row r="483" spans="3:10" ht="15.75">
      <c r="C483" s="963"/>
      <c r="D483" s="967"/>
      <c r="E483" s="968"/>
      <c r="F483" s="969"/>
      <c r="G483" s="970"/>
      <c r="H483" s="971"/>
      <c r="I483" s="970"/>
      <c r="J483" s="974"/>
    </row>
    <row r="484" spans="3:10" ht="15.75">
      <c r="C484" s="963"/>
      <c r="D484" s="967"/>
      <c r="E484" s="968"/>
      <c r="F484" s="969"/>
      <c r="G484" s="970"/>
      <c r="H484" s="971"/>
      <c r="I484" s="970"/>
      <c r="J484" s="974"/>
    </row>
    <row r="485" spans="3:10" ht="15.75">
      <c r="C485" s="963"/>
      <c r="D485" s="967"/>
      <c r="E485" s="968"/>
      <c r="F485" s="969"/>
      <c r="G485" s="970"/>
      <c r="H485" s="971"/>
      <c r="I485" s="970"/>
      <c r="J485" s="974"/>
    </row>
    <row r="486" spans="3:10" ht="15.75">
      <c r="C486" s="963"/>
      <c r="D486" s="967"/>
      <c r="E486" s="968"/>
      <c r="F486" s="969"/>
      <c r="G486" s="970"/>
      <c r="H486" s="971"/>
      <c r="I486" s="970"/>
      <c r="J486" s="974"/>
    </row>
    <row r="487" spans="3:10" ht="15.75">
      <c r="C487" s="963"/>
      <c r="D487" s="967"/>
      <c r="E487" s="968"/>
      <c r="F487" s="969"/>
      <c r="G487" s="970"/>
      <c r="H487" s="971"/>
      <c r="I487" s="970"/>
      <c r="J487" s="974"/>
    </row>
    <row r="488" spans="3:10" ht="15.75">
      <c r="C488" s="963"/>
      <c r="D488" s="967"/>
      <c r="E488" s="968"/>
      <c r="F488" s="969"/>
      <c r="G488" s="970"/>
      <c r="H488" s="971"/>
      <c r="I488" s="970"/>
      <c r="J488" s="974"/>
    </row>
    <row r="489" spans="3:10" ht="15.75">
      <c r="C489" s="963"/>
      <c r="D489" s="967"/>
      <c r="E489" s="968"/>
      <c r="F489" s="969"/>
      <c r="G489" s="970"/>
      <c r="H489" s="971"/>
      <c r="I489" s="970"/>
      <c r="J489" s="974"/>
    </row>
    <row r="490" spans="3:10" ht="15.75">
      <c r="C490" s="963"/>
      <c r="D490" s="967"/>
      <c r="E490" s="968"/>
      <c r="F490" s="969"/>
      <c r="G490" s="970"/>
      <c r="H490" s="971"/>
      <c r="I490" s="970"/>
      <c r="J490" s="974"/>
    </row>
    <row r="491" spans="3:10" ht="15.75">
      <c r="C491" s="963"/>
      <c r="D491" s="967"/>
      <c r="E491" s="968"/>
      <c r="F491" s="969"/>
      <c r="G491" s="970"/>
      <c r="H491" s="971"/>
      <c r="I491" s="970"/>
      <c r="J491" s="974"/>
    </row>
    <row r="492" spans="3:10" ht="15.75">
      <c r="C492" s="963"/>
      <c r="D492" s="967"/>
      <c r="E492" s="968"/>
      <c r="F492" s="969"/>
      <c r="G492" s="970"/>
      <c r="H492" s="971"/>
      <c r="I492" s="970"/>
      <c r="J492" s="974"/>
    </row>
    <row r="493" spans="3:10" ht="15.75">
      <c r="C493" s="963"/>
      <c r="D493" s="967"/>
      <c r="E493" s="968"/>
      <c r="F493" s="969"/>
      <c r="G493" s="970"/>
      <c r="H493" s="971"/>
      <c r="I493" s="970"/>
      <c r="J493" s="974"/>
    </row>
    <row r="494" spans="3:10" ht="15.75">
      <c r="C494" s="963"/>
      <c r="D494" s="967"/>
      <c r="E494" s="968"/>
      <c r="F494" s="969"/>
      <c r="G494" s="970"/>
      <c r="H494" s="971"/>
      <c r="I494" s="970"/>
      <c r="J494" s="974"/>
    </row>
    <row r="495" spans="3:10" ht="15.75">
      <c r="C495" s="963"/>
      <c r="D495" s="967"/>
      <c r="E495" s="968"/>
      <c r="F495" s="969"/>
      <c r="G495" s="970"/>
      <c r="H495" s="971"/>
      <c r="I495" s="970"/>
      <c r="J495" s="974"/>
    </row>
    <row r="496" spans="3:10" ht="15.75">
      <c r="C496" s="963"/>
      <c r="D496" s="967"/>
      <c r="E496" s="968"/>
      <c r="F496" s="969"/>
      <c r="G496" s="970"/>
      <c r="H496" s="971"/>
      <c r="I496" s="970"/>
      <c r="J496" s="974"/>
    </row>
    <row r="497" spans="3:10" ht="15.75">
      <c r="C497" s="963"/>
      <c r="D497" s="967"/>
      <c r="E497" s="968"/>
      <c r="F497" s="969"/>
      <c r="G497" s="970"/>
      <c r="H497" s="971"/>
      <c r="I497" s="970"/>
      <c r="J497" s="974"/>
    </row>
    <row r="498" spans="3:10" ht="15.75">
      <c r="C498" s="963"/>
      <c r="D498" s="967"/>
      <c r="E498" s="968"/>
      <c r="F498" s="969"/>
      <c r="G498" s="970"/>
      <c r="H498" s="971"/>
      <c r="I498" s="970"/>
      <c r="J498" s="974"/>
    </row>
    <row r="499" spans="3:10" ht="15.75">
      <c r="C499" s="963"/>
      <c r="D499" s="967"/>
      <c r="E499" s="968"/>
      <c r="F499" s="969"/>
      <c r="G499" s="970"/>
      <c r="H499" s="971"/>
      <c r="I499" s="970"/>
      <c r="J499" s="974"/>
    </row>
    <row r="500" spans="3:10" ht="15.75">
      <c r="C500" s="963"/>
      <c r="D500" s="967"/>
      <c r="E500" s="968"/>
      <c r="F500" s="969"/>
      <c r="G500" s="970"/>
      <c r="H500" s="971"/>
      <c r="I500" s="970"/>
      <c r="J500" s="974"/>
    </row>
    <row r="501" spans="3:10" ht="15.75">
      <c r="C501" s="963"/>
      <c r="D501" s="967"/>
      <c r="E501" s="968"/>
      <c r="F501" s="969"/>
      <c r="G501" s="970"/>
      <c r="H501" s="971"/>
      <c r="I501" s="970"/>
      <c r="J501" s="974"/>
    </row>
    <row r="502" spans="3:10" ht="15.75">
      <c r="C502" s="963"/>
      <c r="D502" s="967"/>
      <c r="E502" s="968"/>
      <c r="F502" s="969"/>
      <c r="G502" s="970"/>
      <c r="H502" s="971"/>
      <c r="I502" s="970"/>
      <c r="J502" s="974"/>
    </row>
    <row r="503" spans="3:10" ht="15.75">
      <c r="C503" s="963"/>
      <c r="D503" s="967"/>
      <c r="E503" s="968"/>
      <c r="F503" s="969"/>
      <c r="G503" s="970"/>
      <c r="H503" s="971"/>
      <c r="I503" s="970"/>
      <c r="J503" s="974"/>
    </row>
    <row r="504" spans="3:10" ht="15.75">
      <c r="C504" s="963"/>
      <c r="D504" s="967"/>
      <c r="E504" s="968"/>
      <c r="F504" s="969"/>
      <c r="G504" s="970"/>
      <c r="H504" s="971"/>
      <c r="I504" s="970"/>
      <c r="J504" s="974"/>
    </row>
    <row r="505" spans="3:10" ht="15.75">
      <c r="C505" s="963"/>
      <c r="D505" s="967"/>
      <c r="E505" s="968"/>
      <c r="F505" s="969"/>
      <c r="G505" s="970"/>
      <c r="H505" s="971"/>
      <c r="I505" s="970"/>
      <c r="J505" s="974"/>
    </row>
    <row r="506" spans="3:10" ht="15.75">
      <c r="C506" s="963"/>
      <c r="D506" s="967"/>
      <c r="E506" s="968"/>
      <c r="F506" s="969"/>
      <c r="G506" s="970"/>
      <c r="H506" s="971"/>
      <c r="I506" s="970"/>
      <c r="J506" s="974"/>
    </row>
    <row r="507" spans="3:10" ht="15.75">
      <c r="C507" s="963"/>
      <c r="D507" s="967"/>
      <c r="E507" s="968"/>
      <c r="F507" s="969"/>
      <c r="G507" s="970"/>
      <c r="H507" s="971"/>
      <c r="I507" s="970"/>
      <c r="J507" s="974"/>
    </row>
    <row r="508" spans="3:10" ht="15.75">
      <c r="C508" s="963"/>
      <c r="D508" s="967"/>
      <c r="E508" s="968"/>
      <c r="F508" s="969"/>
      <c r="G508" s="970"/>
      <c r="H508" s="971"/>
      <c r="I508" s="970"/>
      <c r="J508" s="974"/>
    </row>
    <row r="509" spans="3:10" ht="15.75">
      <c r="C509" s="963"/>
      <c r="D509" s="967"/>
      <c r="E509" s="968"/>
      <c r="F509" s="969"/>
      <c r="G509" s="970"/>
      <c r="H509" s="971"/>
      <c r="I509" s="970"/>
      <c r="J509" s="974"/>
    </row>
    <row r="510" spans="3:10" ht="15.75">
      <c r="C510" s="963"/>
      <c r="D510" s="967"/>
      <c r="E510" s="968"/>
      <c r="F510" s="969"/>
      <c r="G510" s="970"/>
      <c r="H510" s="971"/>
      <c r="I510" s="970"/>
      <c r="J510" s="974"/>
    </row>
    <row r="511" spans="3:10" ht="15.75">
      <c r="C511" s="963"/>
      <c r="D511" s="967"/>
      <c r="E511" s="968"/>
      <c r="F511" s="969"/>
      <c r="G511" s="970"/>
      <c r="H511" s="971"/>
      <c r="I511" s="970"/>
      <c r="J511" s="974"/>
    </row>
    <row r="512" spans="3:10" ht="15.75">
      <c r="C512" s="963"/>
      <c r="D512" s="967"/>
      <c r="E512" s="968"/>
      <c r="F512" s="969"/>
      <c r="G512" s="970"/>
      <c r="H512" s="971"/>
      <c r="I512" s="970"/>
      <c r="J512" s="974"/>
    </row>
    <row r="513" spans="3:10" ht="15.75">
      <c r="C513" s="963"/>
      <c r="D513" s="967"/>
      <c r="E513" s="968"/>
      <c r="F513" s="969"/>
      <c r="G513" s="970"/>
      <c r="H513" s="971"/>
      <c r="I513" s="970"/>
      <c r="J513" s="974"/>
    </row>
    <row r="514" spans="3:10" ht="15.75">
      <c r="C514" s="963"/>
      <c r="D514" s="967"/>
      <c r="E514" s="968"/>
      <c r="F514" s="969"/>
      <c r="G514" s="970"/>
      <c r="H514" s="971"/>
      <c r="I514" s="970"/>
      <c r="J514" s="974"/>
    </row>
    <row r="515" spans="3:10" ht="15.75">
      <c r="C515" s="963"/>
      <c r="D515" s="967"/>
      <c r="E515" s="968"/>
      <c r="F515" s="969"/>
      <c r="G515" s="970"/>
      <c r="H515" s="971"/>
      <c r="I515" s="970"/>
      <c r="J515" s="974"/>
    </row>
    <row r="516" spans="3:10" ht="15.75">
      <c r="C516" s="963"/>
      <c r="D516" s="967"/>
      <c r="E516" s="968"/>
      <c r="F516" s="969"/>
      <c r="G516" s="970"/>
      <c r="H516" s="971"/>
      <c r="I516" s="970"/>
      <c r="J516" s="974"/>
    </row>
    <row r="517" spans="3:10" ht="15.75">
      <c r="C517" s="963"/>
      <c r="D517" s="967"/>
      <c r="E517" s="968"/>
      <c r="F517" s="969"/>
      <c r="G517" s="970"/>
      <c r="H517" s="971"/>
      <c r="I517" s="970"/>
      <c r="J517" s="974"/>
    </row>
    <row r="518" spans="3:10" ht="15.75">
      <c r="C518" s="963"/>
      <c r="D518" s="967"/>
      <c r="E518" s="968"/>
      <c r="F518" s="969"/>
      <c r="G518" s="970"/>
      <c r="H518" s="971"/>
      <c r="I518" s="970"/>
      <c r="J518" s="974"/>
    </row>
    <row r="519" spans="3:10" ht="15.75">
      <c r="C519" s="963"/>
      <c r="D519" s="967"/>
      <c r="E519" s="968"/>
      <c r="F519" s="969"/>
      <c r="G519" s="970"/>
      <c r="H519" s="971"/>
      <c r="I519" s="970"/>
      <c r="J519" s="974"/>
    </row>
    <row r="520" spans="3:10" ht="15.75">
      <c r="C520" s="963"/>
      <c r="D520" s="967"/>
      <c r="E520" s="968"/>
      <c r="F520" s="969"/>
      <c r="G520" s="970"/>
      <c r="H520" s="971"/>
      <c r="I520" s="970"/>
      <c r="J520" s="974"/>
    </row>
    <row r="521" spans="3:10" ht="15.75">
      <c r="C521" s="963"/>
      <c r="D521" s="967"/>
      <c r="E521" s="968"/>
      <c r="F521" s="969"/>
      <c r="G521" s="970"/>
      <c r="H521" s="971"/>
      <c r="I521" s="970"/>
      <c r="J521" s="974"/>
    </row>
    <row r="522" spans="3:10" ht="15.75">
      <c r="C522" s="963"/>
      <c r="D522" s="967"/>
      <c r="E522" s="968"/>
      <c r="F522" s="969"/>
      <c r="G522" s="970"/>
      <c r="H522" s="971"/>
      <c r="I522" s="970"/>
      <c r="J522" s="974"/>
    </row>
    <row r="523" spans="3:10" ht="15.75">
      <c r="C523" s="963"/>
      <c r="D523" s="967"/>
      <c r="E523" s="968"/>
      <c r="F523" s="969"/>
      <c r="G523" s="970"/>
      <c r="H523" s="971"/>
      <c r="I523" s="970"/>
      <c r="J523" s="974"/>
    </row>
    <row r="524" spans="3:10" ht="15.75">
      <c r="C524" s="963"/>
      <c r="D524" s="967"/>
      <c r="E524" s="968"/>
      <c r="F524" s="969"/>
      <c r="G524" s="970"/>
      <c r="H524" s="971"/>
      <c r="I524" s="970"/>
      <c r="J524" s="974"/>
    </row>
    <row r="525" spans="3:10" ht="15.75">
      <c r="C525" s="963"/>
      <c r="D525" s="967"/>
      <c r="E525" s="968"/>
      <c r="F525" s="969"/>
      <c r="G525" s="970"/>
      <c r="H525" s="971"/>
      <c r="I525" s="970"/>
      <c r="J525" s="974"/>
    </row>
    <row r="526" spans="3:10" ht="15.75">
      <c r="C526" s="963"/>
      <c r="D526" s="967"/>
      <c r="E526" s="968"/>
      <c r="F526" s="969"/>
      <c r="G526" s="970"/>
      <c r="H526" s="971"/>
      <c r="I526" s="970"/>
      <c r="J526" s="974"/>
    </row>
    <row r="527" spans="3:10" ht="15.75">
      <c r="C527" s="963"/>
      <c r="D527" s="967"/>
      <c r="E527" s="968"/>
      <c r="F527" s="969"/>
      <c r="G527" s="970"/>
      <c r="H527" s="971"/>
      <c r="I527" s="970"/>
      <c r="J527" s="974"/>
    </row>
    <row r="528" spans="3:10" ht="15.75">
      <c r="C528" s="963"/>
      <c r="D528" s="967"/>
      <c r="E528" s="968"/>
      <c r="F528" s="969"/>
      <c r="G528" s="970"/>
      <c r="H528" s="971"/>
      <c r="I528" s="970"/>
      <c r="J528" s="974"/>
    </row>
    <row r="529" spans="3:10" ht="15.75">
      <c r="C529" s="963"/>
      <c r="D529" s="967"/>
      <c r="E529" s="968"/>
      <c r="F529" s="969"/>
      <c r="G529" s="970"/>
      <c r="H529" s="971"/>
      <c r="I529" s="970"/>
      <c r="J529" s="974"/>
    </row>
    <row r="530" spans="3:10" ht="15.75">
      <c r="C530" s="963"/>
      <c r="D530" s="967"/>
      <c r="E530" s="968"/>
      <c r="F530" s="969"/>
      <c r="G530" s="970"/>
      <c r="H530" s="971"/>
      <c r="I530" s="970"/>
      <c r="J530" s="974"/>
    </row>
    <row r="531" spans="3:10" ht="15.75">
      <c r="C531" s="963"/>
      <c r="D531" s="967"/>
      <c r="E531" s="968"/>
      <c r="F531" s="969"/>
      <c r="G531" s="970"/>
      <c r="H531" s="971"/>
      <c r="I531" s="970"/>
      <c r="J531" s="974"/>
    </row>
    <row r="532" spans="3:10" ht="15.75">
      <c r="C532" s="963"/>
      <c r="D532" s="967"/>
      <c r="E532" s="968"/>
      <c r="F532" s="969"/>
      <c r="G532" s="970"/>
      <c r="H532" s="971"/>
      <c r="I532" s="970"/>
      <c r="J532" s="974"/>
    </row>
    <row r="533" spans="3:10" ht="15.75">
      <c r="C533" s="963"/>
      <c r="D533" s="967"/>
      <c r="E533" s="968"/>
      <c r="F533" s="969"/>
      <c r="G533" s="970"/>
      <c r="H533" s="971"/>
      <c r="I533" s="970"/>
      <c r="J533" s="974"/>
    </row>
    <row r="534" spans="3:10" ht="15.75">
      <c r="C534" s="963"/>
      <c r="D534" s="967"/>
      <c r="E534" s="968"/>
      <c r="F534" s="969"/>
      <c r="G534" s="970"/>
      <c r="H534" s="971"/>
      <c r="I534" s="970"/>
      <c r="J534" s="974"/>
    </row>
    <row r="535" spans="3:10" ht="15.75">
      <c r="C535" s="963"/>
      <c r="D535" s="967"/>
      <c r="E535" s="968"/>
      <c r="F535" s="969"/>
      <c r="G535" s="970"/>
      <c r="H535" s="971"/>
      <c r="I535" s="970"/>
      <c r="J535" s="974"/>
    </row>
    <row r="536" spans="3:10" ht="15.75">
      <c r="C536" s="963"/>
      <c r="D536" s="967"/>
      <c r="E536" s="968"/>
      <c r="F536" s="969"/>
      <c r="G536" s="970"/>
      <c r="H536" s="971"/>
      <c r="I536" s="970"/>
      <c r="J536" s="974"/>
    </row>
    <row r="537" spans="3:10" ht="15.75">
      <c r="C537" s="963"/>
      <c r="D537" s="967"/>
      <c r="E537" s="968"/>
      <c r="F537" s="969"/>
      <c r="G537" s="970"/>
      <c r="H537" s="971"/>
      <c r="I537" s="970"/>
      <c r="J537" s="974"/>
    </row>
    <row r="538" spans="3:10" ht="15.75">
      <c r="C538" s="963"/>
      <c r="D538" s="967"/>
      <c r="E538" s="968"/>
      <c r="F538" s="969"/>
      <c r="G538" s="970"/>
      <c r="H538" s="971"/>
      <c r="I538" s="970"/>
      <c r="J538" s="974"/>
    </row>
    <row r="539" spans="3:10" ht="15.75">
      <c r="C539" s="963"/>
      <c r="D539" s="967"/>
      <c r="E539" s="968"/>
      <c r="F539" s="969"/>
      <c r="G539" s="970"/>
      <c r="H539" s="971"/>
      <c r="I539" s="970"/>
      <c r="J539" s="974"/>
    </row>
    <row r="540" spans="3:10" ht="15.75">
      <c r="C540" s="963"/>
      <c r="D540" s="967"/>
      <c r="E540" s="968"/>
      <c r="F540" s="969"/>
      <c r="G540" s="970"/>
      <c r="H540" s="971"/>
      <c r="I540" s="970"/>
      <c r="J540" s="974"/>
    </row>
    <row r="541" spans="3:10" ht="15.75">
      <c r="C541" s="963"/>
      <c r="D541" s="967"/>
      <c r="E541" s="968"/>
      <c r="F541" s="969"/>
      <c r="G541" s="970"/>
      <c r="H541" s="971"/>
      <c r="I541" s="970"/>
      <c r="J541" s="974"/>
    </row>
    <row r="542" spans="3:10" ht="15.75">
      <c r="C542" s="963"/>
      <c r="D542" s="967"/>
      <c r="E542" s="968"/>
      <c r="F542" s="969"/>
      <c r="G542" s="970"/>
      <c r="H542" s="971"/>
      <c r="I542" s="970"/>
      <c r="J542" s="974"/>
    </row>
    <row r="543" spans="3:10" ht="15.75">
      <c r="C543" s="963"/>
      <c r="D543" s="967"/>
      <c r="E543" s="968"/>
      <c r="F543" s="969"/>
      <c r="G543" s="970"/>
      <c r="H543" s="971"/>
      <c r="I543" s="970"/>
      <c r="J543" s="974"/>
    </row>
    <row r="544" spans="3:10" ht="15.75">
      <c r="C544" s="963"/>
      <c r="D544" s="967"/>
      <c r="E544" s="968"/>
      <c r="F544" s="969"/>
      <c r="G544" s="970"/>
      <c r="H544" s="971"/>
      <c r="I544" s="970"/>
      <c r="J544" s="974"/>
    </row>
    <row r="545" spans="3:10" ht="15.75">
      <c r="C545" s="963"/>
      <c r="D545" s="967"/>
      <c r="E545" s="968"/>
      <c r="F545" s="969"/>
      <c r="G545" s="970"/>
      <c r="H545" s="971"/>
      <c r="I545" s="970"/>
      <c r="J545" s="974"/>
    </row>
    <row r="546" spans="3:10" ht="15.75">
      <c r="C546" s="963"/>
      <c r="D546" s="967"/>
      <c r="E546" s="968"/>
      <c r="F546" s="969"/>
      <c r="G546" s="970"/>
      <c r="H546" s="971"/>
      <c r="I546" s="970"/>
      <c r="J546" s="974"/>
    </row>
    <row r="547" spans="3:10" ht="15.75">
      <c r="C547" s="963"/>
      <c r="D547" s="967"/>
      <c r="E547" s="968"/>
      <c r="F547" s="969"/>
      <c r="G547" s="970"/>
      <c r="H547" s="971"/>
      <c r="I547" s="970"/>
      <c r="J547" s="974"/>
    </row>
    <row r="548" spans="3:10" ht="15.75">
      <c r="C548" s="963"/>
      <c r="D548" s="967"/>
      <c r="E548" s="968"/>
      <c r="F548" s="969"/>
      <c r="G548" s="970"/>
      <c r="H548" s="971"/>
      <c r="I548" s="970"/>
      <c r="J548" s="974"/>
    </row>
    <row r="549" spans="3:10" ht="15.75">
      <c r="C549" s="963"/>
      <c r="D549" s="967"/>
      <c r="E549" s="968"/>
      <c r="F549" s="969"/>
      <c r="G549" s="970"/>
      <c r="H549" s="971"/>
      <c r="I549" s="970"/>
      <c r="J549" s="974"/>
    </row>
    <row r="550" spans="3:10" ht="15.75">
      <c r="C550" s="963"/>
      <c r="D550" s="967"/>
      <c r="E550" s="968"/>
      <c r="F550" s="969"/>
      <c r="G550" s="970"/>
      <c r="H550" s="971"/>
      <c r="I550" s="970"/>
      <c r="J550" s="974"/>
    </row>
    <row r="551" spans="3:10" ht="15.75">
      <c r="C551" s="963"/>
      <c r="D551" s="967"/>
      <c r="E551" s="968"/>
      <c r="F551" s="969"/>
      <c r="G551" s="970"/>
      <c r="H551" s="971"/>
      <c r="I551" s="970"/>
      <c r="J551" s="974"/>
    </row>
    <row r="552" spans="3:10" ht="15.75">
      <c r="C552" s="963"/>
      <c r="D552" s="967"/>
      <c r="E552" s="968"/>
      <c r="F552" s="969"/>
      <c r="G552" s="970"/>
      <c r="H552" s="971"/>
      <c r="I552" s="970"/>
      <c r="J552" s="974"/>
    </row>
    <row r="553" spans="3:10" ht="15.75">
      <c r="C553" s="963"/>
      <c r="D553" s="967"/>
      <c r="E553" s="968"/>
      <c r="F553" s="969"/>
      <c r="G553" s="970"/>
      <c r="H553" s="971"/>
      <c r="I553" s="970"/>
      <c r="J553" s="974"/>
    </row>
    <row r="554" spans="3:10" ht="15.75">
      <c r="C554" s="963"/>
      <c r="D554" s="967"/>
      <c r="E554" s="968"/>
      <c r="F554" s="969"/>
      <c r="G554" s="970"/>
      <c r="H554" s="971"/>
      <c r="I554" s="970"/>
      <c r="J554" s="974"/>
    </row>
    <row r="555" spans="3:10" ht="15.75">
      <c r="C555" s="963"/>
      <c r="D555" s="967"/>
      <c r="E555" s="968"/>
      <c r="F555" s="969"/>
      <c r="G555" s="970"/>
      <c r="H555" s="971"/>
      <c r="I555" s="970"/>
      <c r="J555" s="974"/>
    </row>
    <row r="556" spans="3:10" ht="15.75">
      <c r="C556" s="963"/>
      <c r="D556" s="967"/>
      <c r="E556" s="968"/>
      <c r="F556" s="969"/>
      <c r="G556" s="970"/>
      <c r="H556" s="971"/>
      <c r="I556" s="970"/>
      <c r="J556" s="974"/>
    </row>
    <row r="557" spans="3:10" ht="15.75">
      <c r="C557" s="963"/>
      <c r="D557" s="967"/>
      <c r="E557" s="968"/>
      <c r="F557" s="969"/>
      <c r="G557" s="970"/>
      <c r="H557" s="971"/>
      <c r="I557" s="970"/>
      <c r="J557" s="974"/>
    </row>
    <row r="558" spans="3:10" ht="15.75">
      <c r="C558" s="963"/>
      <c r="D558" s="967"/>
      <c r="E558" s="968"/>
      <c r="F558" s="969"/>
      <c r="G558" s="970"/>
      <c r="H558" s="971"/>
      <c r="I558" s="970"/>
      <c r="J558" s="974"/>
    </row>
    <row r="559" spans="3:10" ht="15.75">
      <c r="C559" s="963"/>
      <c r="D559" s="967"/>
      <c r="E559" s="968"/>
      <c r="F559" s="969"/>
      <c r="G559" s="970"/>
      <c r="H559" s="971"/>
      <c r="I559" s="970"/>
      <c r="J559" s="974"/>
    </row>
    <row r="560" spans="3:10" ht="15.75">
      <c r="C560" s="963"/>
      <c r="D560" s="967"/>
      <c r="E560" s="968"/>
      <c r="F560" s="969"/>
      <c r="G560" s="970"/>
      <c r="H560" s="971"/>
      <c r="I560" s="970"/>
      <c r="J560" s="974"/>
    </row>
    <row r="561" spans="3:10" ht="15.75">
      <c r="C561" s="963"/>
      <c r="D561" s="967"/>
      <c r="E561" s="968"/>
      <c r="F561" s="969"/>
      <c r="G561" s="970"/>
      <c r="H561" s="971"/>
      <c r="I561" s="970"/>
      <c r="J561" s="974"/>
    </row>
    <row r="562" spans="3:10" ht="15.75">
      <c r="C562" s="963"/>
      <c r="D562" s="967"/>
      <c r="E562" s="968"/>
      <c r="F562" s="969"/>
      <c r="G562" s="970"/>
      <c r="H562" s="971"/>
      <c r="I562" s="970"/>
      <c r="J562" s="974"/>
    </row>
    <row r="563" spans="3:10" ht="15.75">
      <c r="C563" s="963"/>
      <c r="D563" s="967"/>
      <c r="E563" s="968"/>
      <c r="F563" s="969"/>
      <c r="G563" s="970"/>
      <c r="H563" s="971"/>
      <c r="I563" s="970"/>
      <c r="J563" s="974"/>
    </row>
    <row r="564" spans="3:10" ht="15.75">
      <c r="C564" s="963"/>
      <c r="D564" s="967"/>
      <c r="E564" s="968"/>
      <c r="F564" s="969"/>
      <c r="G564" s="970"/>
      <c r="H564" s="971"/>
      <c r="I564" s="970"/>
      <c r="J564" s="974"/>
    </row>
    <row r="565" spans="3:10" ht="15.75">
      <c r="C565" s="963"/>
      <c r="D565" s="967"/>
      <c r="E565" s="968"/>
      <c r="F565" s="969"/>
      <c r="G565" s="970"/>
      <c r="H565" s="971"/>
      <c r="I565" s="970"/>
      <c r="J565" s="974"/>
    </row>
    <row r="566" spans="3:10" ht="15.75">
      <c r="C566" s="963"/>
      <c r="D566" s="967"/>
      <c r="E566" s="968"/>
      <c r="F566" s="969"/>
      <c r="G566" s="970"/>
      <c r="H566" s="971"/>
      <c r="I566" s="970"/>
      <c r="J566" s="974"/>
    </row>
    <row r="567" spans="3:10" ht="15.75">
      <c r="C567" s="963"/>
      <c r="D567" s="967"/>
      <c r="E567" s="968"/>
      <c r="F567" s="969"/>
      <c r="G567" s="970"/>
      <c r="H567" s="971"/>
      <c r="I567" s="970"/>
      <c r="J567" s="974"/>
    </row>
    <row r="568" spans="3:10" ht="15.75">
      <c r="C568" s="963"/>
      <c r="D568" s="967"/>
      <c r="E568" s="968"/>
      <c r="F568" s="969"/>
      <c r="G568" s="970"/>
      <c r="H568" s="971"/>
      <c r="I568" s="970"/>
      <c r="J568" s="974"/>
    </row>
    <row r="569" spans="3:10" ht="15.75">
      <c r="C569" s="963"/>
      <c r="D569" s="967"/>
      <c r="E569" s="968"/>
      <c r="F569" s="969"/>
      <c r="G569" s="970"/>
      <c r="H569" s="971"/>
      <c r="I569" s="970"/>
      <c r="J569" s="974"/>
    </row>
    <row r="570" spans="3:10" ht="15.75">
      <c r="C570" s="963"/>
      <c r="D570" s="967"/>
      <c r="E570" s="968"/>
      <c r="F570" s="969"/>
      <c r="G570" s="970"/>
      <c r="H570" s="971"/>
      <c r="I570" s="970"/>
      <c r="J570" s="974"/>
    </row>
    <row r="571" spans="3:10" ht="15.75">
      <c r="C571" s="963"/>
      <c r="D571" s="967"/>
      <c r="E571" s="968"/>
      <c r="F571" s="969"/>
      <c r="G571" s="970"/>
      <c r="H571" s="971"/>
      <c r="I571" s="970"/>
      <c r="J571" s="974"/>
    </row>
    <row r="572" spans="3:10" ht="15.75">
      <c r="C572" s="963"/>
      <c r="D572" s="967"/>
      <c r="E572" s="968"/>
      <c r="F572" s="969"/>
      <c r="G572" s="970"/>
      <c r="H572" s="971"/>
      <c r="I572" s="970"/>
      <c r="J572" s="974"/>
    </row>
    <row r="573" spans="3:10" ht="15.75">
      <c r="C573" s="963"/>
      <c r="D573" s="967"/>
      <c r="E573" s="968"/>
      <c r="F573" s="969"/>
      <c r="G573" s="970"/>
      <c r="H573" s="971"/>
      <c r="I573" s="970"/>
      <c r="J573" s="974"/>
    </row>
    <row r="574" spans="3:10" ht="15.75">
      <c r="C574" s="963"/>
      <c r="D574" s="967"/>
      <c r="E574" s="968"/>
      <c r="F574" s="969"/>
      <c r="G574" s="970"/>
      <c r="H574" s="971"/>
      <c r="I574" s="970"/>
      <c r="J574" s="974"/>
    </row>
    <row r="575" spans="3:10" ht="15.75">
      <c r="C575" s="963"/>
      <c r="D575" s="967"/>
      <c r="E575" s="968"/>
      <c r="F575" s="969"/>
      <c r="G575" s="970"/>
      <c r="H575" s="971"/>
      <c r="I575" s="970"/>
      <c r="J575" s="974"/>
    </row>
    <row r="576" spans="3:10" ht="15.75">
      <c r="C576" s="963"/>
      <c r="D576" s="967"/>
      <c r="E576" s="968"/>
      <c r="F576" s="969"/>
      <c r="G576" s="970"/>
      <c r="H576" s="971"/>
      <c r="I576" s="970"/>
      <c r="J576" s="974"/>
    </row>
    <row r="577" spans="3:10" ht="15.75">
      <c r="C577" s="963"/>
      <c r="D577" s="967"/>
      <c r="E577" s="968"/>
      <c r="F577" s="969"/>
      <c r="G577" s="970"/>
      <c r="H577" s="971"/>
      <c r="I577" s="970"/>
      <c r="J577" s="974"/>
    </row>
    <row r="578" spans="3:10" ht="15.75">
      <c r="C578" s="963"/>
      <c r="D578" s="967"/>
      <c r="E578" s="968"/>
      <c r="F578" s="969"/>
      <c r="G578" s="970"/>
      <c r="H578" s="971"/>
      <c r="I578" s="970"/>
      <c r="J578" s="974"/>
    </row>
    <row r="579" spans="3:10" ht="15.75">
      <c r="C579" s="963"/>
      <c r="D579" s="967"/>
      <c r="E579" s="968"/>
      <c r="F579" s="969"/>
      <c r="G579" s="970"/>
      <c r="H579" s="971"/>
      <c r="I579" s="970"/>
      <c r="J579" s="974"/>
    </row>
    <row r="580" spans="3:10" ht="15.75">
      <c r="C580" s="963"/>
      <c r="D580" s="967"/>
      <c r="E580" s="968"/>
      <c r="F580" s="969"/>
      <c r="G580" s="970"/>
      <c r="H580" s="971"/>
      <c r="I580" s="970"/>
      <c r="J580" s="974"/>
    </row>
    <row r="581" spans="3:10" ht="15.75">
      <c r="C581" s="963"/>
      <c r="D581" s="967"/>
      <c r="E581" s="968"/>
      <c r="F581" s="969"/>
      <c r="G581" s="970"/>
      <c r="H581" s="971"/>
      <c r="I581" s="970"/>
      <c r="J581" s="974"/>
    </row>
    <row r="582" spans="3:10" ht="15.75">
      <c r="C582" s="963"/>
      <c r="D582" s="967"/>
      <c r="E582" s="968"/>
      <c r="F582" s="969"/>
      <c r="G582" s="970"/>
      <c r="H582" s="971"/>
      <c r="I582" s="970"/>
      <c r="J582" s="974"/>
    </row>
    <row r="583" spans="3:10" ht="15.75">
      <c r="C583" s="963"/>
      <c r="D583" s="967"/>
      <c r="E583" s="968"/>
      <c r="F583" s="969"/>
      <c r="G583" s="970"/>
      <c r="H583" s="971"/>
      <c r="I583" s="970"/>
      <c r="J583" s="974"/>
    </row>
    <row r="584" spans="3:10" ht="15.75">
      <c r="C584" s="963"/>
      <c r="D584" s="967"/>
      <c r="E584" s="968"/>
      <c r="F584" s="969"/>
      <c r="G584" s="970"/>
      <c r="H584" s="971"/>
      <c r="I584" s="970"/>
      <c r="J584" s="974"/>
    </row>
    <row r="585" spans="3:10" ht="15.75">
      <c r="C585" s="963"/>
      <c r="D585" s="967"/>
      <c r="E585" s="968"/>
      <c r="F585" s="969"/>
      <c r="G585" s="970"/>
      <c r="H585" s="971"/>
      <c r="I585" s="970"/>
      <c r="J585" s="974"/>
    </row>
    <row r="586" spans="3:10" ht="15.75">
      <c r="C586" s="963"/>
      <c r="D586" s="967"/>
      <c r="E586" s="968"/>
      <c r="F586" s="969"/>
      <c r="G586" s="970"/>
      <c r="H586" s="971"/>
      <c r="I586" s="970"/>
      <c r="J586" s="974"/>
    </row>
    <row r="587" spans="3:10" ht="15.75">
      <c r="C587" s="963"/>
      <c r="D587" s="967"/>
      <c r="E587" s="968"/>
      <c r="F587" s="969"/>
      <c r="G587" s="970"/>
      <c r="H587" s="971"/>
      <c r="I587" s="970"/>
      <c r="J587" s="974"/>
    </row>
    <row r="588" spans="3:10" ht="15.75">
      <c r="C588" s="963"/>
      <c r="D588" s="967"/>
      <c r="E588" s="968"/>
      <c r="F588" s="969"/>
      <c r="G588" s="970"/>
      <c r="H588" s="971"/>
      <c r="I588" s="970"/>
      <c r="J588" s="974"/>
    </row>
    <row r="589" spans="3:10" ht="15.75">
      <c r="C589" s="963"/>
      <c r="D589" s="967"/>
      <c r="E589" s="968"/>
      <c r="F589" s="969"/>
      <c r="G589" s="970"/>
      <c r="H589" s="971"/>
      <c r="I589" s="970"/>
      <c r="J589" s="974"/>
    </row>
    <row r="590" spans="3:10" ht="15.75">
      <c r="C590" s="963"/>
      <c r="D590" s="967"/>
      <c r="E590" s="968"/>
      <c r="F590" s="969"/>
      <c r="G590" s="970"/>
      <c r="H590" s="971"/>
      <c r="I590" s="970"/>
      <c r="J590" s="974"/>
    </row>
    <row r="591" spans="3:10" ht="15.75">
      <c r="C591" s="963"/>
      <c r="D591" s="967"/>
      <c r="E591" s="968"/>
      <c r="F591" s="969"/>
      <c r="G591" s="970"/>
      <c r="H591" s="971"/>
      <c r="I591" s="970"/>
      <c r="J591" s="974"/>
    </row>
    <row r="592" spans="3:10" ht="15.75">
      <c r="C592" s="963"/>
      <c r="D592" s="967"/>
      <c r="E592" s="968"/>
      <c r="F592" s="969"/>
      <c r="G592" s="970"/>
      <c r="H592" s="971"/>
      <c r="I592" s="970"/>
      <c r="J592" s="974"/>
    </row>
    <row r="593" spans="3:10" ht="15.75">
      <c r="C593" s="963"/>
      <c r="D593" s="967"/>
      <c r="E593" s="968"/>
      <c r="F593" s="969"/>
      <c r="G593" s="970"/>
      <c r="H593" s="971"/>
      <c r="I593" s="970"/>
      <c r="J593" s="974"/>
    </row>
    <row r="594" spans="3:10" ht="15.75">
      <c r="C594" s="963"/>
      <c r="D594" s="967"/>
      <c r="E594" s="968"/>
      <c r="F594" s="969"/>
      <c r="G594" s="970"/>
      <c r="H594" s="971"/>
      <c r="I594" s="970"/>
      <c r="J594" s="974"/>
    </row>
    <row r="595" spans="3:10" ht="15.75">
      <c r="C595" s="963"/>
      <c r="D595" s="967"/>
      <c r="E595" s="968"/>
      <c r="F595" s="969"/>
      <c r="G595" s="970"/>
      <c r="H595" s="971"/>
      <c r="I595" s="970"/>
      <c r="J595" s="974"/>
    </row>
    <row r="596" spans="3:10" ht="15.75">
      <c r="C596" s="963"/>
      <c r="D596" s="967"/>
      <c r="E596" s="968"/>
      <c r="F596" s="969"/>
      <c r="G596" s="970"/>
      <c r="H596" s="971"/>
      <c r="I596" s="970"/>
      <c r="J596" s="974"/>
    </row>
    <row r="597" spans="3:10" ht="15.75">
      <c r="C597" s="963"/>
      <c r="D597" s="967"/>
      <c r="E597" s="968"/>
      <c r="F597" s="969"/>
      <c r="G597" s="970"/>
      <c r="H597" s="971"/>
      <c r="I597" s="970"/>
      <c r="J597" s="974"/>
    </row>
    <row r="598" spans="3:10" ht="15.75">
      <c r="C598" s="963"/>
      <c r="D598" s="967"/>
      <c r="E598" s="968"/>
      <c r="F598" s="969"/>
      <c r="G598" s="970"/>
      <c r="H598" s="971"/>
      <c r="I598" s="970"/>
      <c r="J598" s="974"/>
    </row>
    <row r="599" spans="3:10" ht="15.75">
      <c r="C599" s="963"/>
      <c r="D599" s="967"/>
      <c r="E599" s="968"/>
      <c r="F599" s="969"/>
      <c r="G599" s="970"/>
      <c r="H599" s="971"/>
      <c r="I599" s="970"/>
      <c r="J599" s="974"/>
    </row>
    <row r="600" spans="3:10" ht="15.75">
      <c r="C600" s="963"/>
      <c r="D600" s="967"/>
      <c r="E600" s="968"/>
      <c r="F600" s="969"/>
      <c r="G600" s="970"/>
      <c r="H600" s="971"/>
      <c r="I600" s="970"/>
      <c r="J600" s="974"/>
    </row>
    <row r="601" spans="3:10" ht="15.75">
      <c r="C601" s="963"/>
      <c r="D601" s="967"/>
      <c r="E601" s="968"/>
      <c r="F601" s="969"/>
      <c r="G601" s="970"/>
      <c r="H601" s="971"/>
      <c r="I601" s="970"/>
      <c r="J601" s="974"/>
    </row>
    <row r="602" spans="3:10" ht="15.75">
      <c r="C602" s="963"/>
      <c r="D602" s="967"/>
      <c r="E602" s="968"/>
      <c r="F602" s="969"/>
      <c r="G602" s="970"/>
      <c r="H602" s="971"/>
      <c r="I602" s="970"/>
      <c r="J602" s="974"/>
    </row>
    <row r="603" spans="3:10" ht="15.75">
      <c r="C603" s="963"/>
      <c r="D603" s="967"/>
      <c r="E603" s="968"/>
      <c r="F603" s="969"/>
      <c r="G603" s="970"/>
      <c r="H603" s="971"/>
      <c r="I603" s="970"/>
      <c r="J603" s="974"/>
    </row>
    <row r="604" spans="3:10" ht="15.75">
      <c r="C604" s="963"/>
      <c r="D604" s="967"/>
      <c r="E604" s="968"/>
      <c r="F604" s="969"/>
      <c r="G604" s="970"/>
      <c r="H604" s="971"/>
      <c r="I604" s="970"/>
      <c r="J604" s="974"/>
    </row>
    <row r="605" spans="3:10" ht="15.75">
      <c r="C605" s="963"/>
      <c r="D605" s="967"/>
      <c r="E605" s="968"/>
      <c r="F605" s="969"/>
      <c r="G605" s="970"/>
      <c r="H605" s="971"/>
      <c r="I605" s="970"/>
      <c r="J605" s="974"/>
    </row>
    <row r="606" spans="3:10" ht="15.75">
      <c r="C606" s="963"/>
      <c r="D606" s="967"/>
      <c r="E606" s="968"/>
      <c r="F606" s="969"/>
      <c r="G606" s="970"/>
      <c r="H606" s="971"/>
      <c r="I606" s="970"/>
      <c r="J606" s="974"/>
    </row>
    <row r="607" spans="3:10" ht="15.75">
      <c r="C607" s="963"/>
      <c r="D607" s="967"/>
      <c r="E607" s="968"/>
      <c r="F607" s="969"/>
      <c r="G607" s="970"/>
      <c r="H607" s="971"/>
      <c r="I607" s="970"/>
      <c r="J607" s="974"/>
    </row>
    <row r="608" spans="3:10" ht="15.75">
      <c r="C608" s="963"/>
      <c r="D608" s="967"/>
      <c r="E608" s="968"/>
      <c r="F608" s="969"/>
      <c r="G608" s="970"/>
      <c r="H608" s="971"/>
      <c r="I608" s="970"/>
      <c r="J608" s="974"/>
    </row>
    <row r="609" spans="3:10" ht="15.75">
      <c r="C609" s="963"/>
      <c r="D609" s="967"/>
      <c r="E609" s="968"/>
      <c r="F609" s="969"/>
      <c r="G609" s="970"/>
      <c r="H609" s="971"/>
      <c r="I609" s="970"/>
      <c r="J609" s="974"/>
    </row>
    <row r="610" spans="3:10" ht="15.75">
      <c r="C610" s="963"/>
      <c r="D610" s="967"/>
      <c r="E610" s="968"/>
      <c r="F610" s="969"/>
      <c r="G610" s="970"/>
      <c r="H610" s="971"/>
      <c r="I610" s="970"/>
      <c r="J610" s="974"/>
    </row>
    <row r="611" spans="3:10" ht="15.75">
      <c r="C611" s="963"/>
      <c r="D611" s="967"/>
      <c r="E611" s="968"/>
      <c r="F611" s="969"/>
      <c r="G611" s="970"/>
      <c r="H611" s="971"/>
      <c r="I611" s="970"/>
      <c r="J611" s="974"/>
    </row>
    <row r="612" spans="3:10" ht="15.75">
      <c r="C612" s="963"/>
      <c r="D612" s="967"/>
      <c r="E612" s="968"/>
      <c r="F612" s="969"/>
      <c r="G612" s="970"/>
      <c r="H612" s="971"/>
      <c r="I612" s="970"/>
      <c r="J612" s="974"/>
    </row>
    <row r="613" spans="3:10" ht="15.75">
      <c r="C613" s="963"/>
      <c r="D613" s="967"/>
      <c r="E613" s="968"/>
      <c r="F613" s="969"/>
      <c r="G613" s="970"/>
      <c r="H613" s="971"/>
      <c r="I613" s="970"/>
      <c r="J613" s="974"/>
    </row>
    <row r="614" spans="3:10" ht="15.75">
      <c r="C614" s="963"/>
      <c r="D614" s="967"/>
      <c r="E614" s="968"/>
      <c r="F614" s="969"/>
      <c r="G614" s="970"/>
      <c r="H614" s="971"/>
      <c r="I614" s="970"/>
      <c r="J614" s="974"/>
    </row>
    <row r="615" spans="3:10" ht="15.75">
      <c r="C615" s="963"/>
      <c r="D615" s="967"/>
      <c r="E615" s="968"/>
      <c r="F615" s="969"/>
      <c r="G615" s="970"/>
      <c r="H615" s="971"/>
      <c r="I615" s="970"/>
      <c r="J615" s="974"/>
    </row>
    <row r="616" spans="3:10" ht="15.75">
      <c r="C616" s="963"/>
      <c r="D616" s="967"/>
      <c r="E616" s="968"/>
      <c r="F616" s="969"/>
      <c r="G616" s="970"/>
      <c r="H616" s="971"/>
      <c r="I616" s="970"/>
      <c r="J616" s="974"/>
    </row>
    <row r="617" spans="3:10" ht="15.75">
      <c r="C617" s="963"/>
      <c r="D617" s="967"/>
      <c r="E617" s="968"/>
      <c r="F617" s="969"/>
      <c r="G617" s="970"/>
      <c r="H617" s="971"/>
      <c r="I617" s="970"/>
      <c r="J617" s="974"/>
    </row>
    <row r="618" spans="3:10" ht="15.75">
      <c r="C618" s="963"/>
      <c r="D618" s="967"/>
      <c r="E618" s="968"/>
      <c r="F618" s="969"/>
      <c r="G618" s="970"/>
      <c r="H618" s="971"/>
      <c r="I618" s="970"/>
      <c r="J618" s="974"/>
    </row>
    <row r="619" spans="3:10" ht="15.75">
      <c r="C619" s="963"/>
      <c r="D619" s="967"/>
      <c r="E619" s="968"/>
      <c r="F619" s="969"/>
      <c r="G619" s="970"/>
      <c r="H619" s="971"/>
      <c r="I619" s="970"/>
      <c r="J619" s="974"/>
    </row>
    <row r="620" spans="3:10" ht="15.75">
      <c r="C620" s="963"/>
      <c r="D620" s="967"/>
      <c r="E620" s="968"/>
      <c r="F620" s="969"/>
      <c r="G620" s="970"/>
      <c r="H620" s="971"/>
      <c r="I620" s="970"/>
      <c r="J620" s="974"/>
    </row>
    <row r="621" spans="3:10" ht="15.75">
      <c r="C621" s="963"/>
      <c r="D621" s="967"/>
      <c r="E621" s="968"/>
      <c r="F621" s="969"/>
      <c r="G621" s="970"/>
      <c r="H621" s="971"/>
      <c r="I621" s="970"/>
      <c r="J621" s="974"/>
    </row>
    <row r="622" spans="3:10" ht="15.75">
      <c r="C622" s="963"/>
      <c r="D622" s="967"/>
      <c r="E622" s="968"/>
      <c r="F622" s="969"/>
      <c r="G622" s="970"/>
      <c r="H622" s="971"/>
      <c r="I622" s="970"/>
      <c r="J622" s="974"/>
    </row>
    <row r="623" spans="3:10" ht="15.75">
      <c r="C623" s="963"/>
      <c r="D623" s="967"/>
      <c r="E623" s="968"/>
      <c r="F623" s="969"/>
      <c r="G623" s="970"/>
      <c r="H623" s="971"/>
      <c r="I623" s="970"/>
      <c r="J623" s="974"/>
    </row>
    <row r="624" spans="3:10" ht="15.75">
      <c r="C624" s="963"/>
      <c r="D624" s="967"/>
      <c r="E624" s="968"/>
      <c r="F624" s="969"/>
      <c r="G624" s="970"/>
      <c r="H624" s="971"/>
      <c r="I624" s="970"/>
      <c r="J624" s="974"/>
    </row>
    <row r="625" spans="3:10" ht="15.75">
      <c r="C625" s="963"/>
      <c r="D625" s="967"/>
      <c r="E625" s="968"/>
      <c r="F625" s="969"/>
      <c r="G625" s="970"/>
      <c r="H625" s="971"/>
      <c r="I625" s="970"/>
      <c r="J625" s="974"/>
    </row>
    <row r="626" spans="3:10" ht="15.75">
      <c r="C626" s="963"/>
      <c r="D626" s="967"/>
      <c r="E626" s="968"/>
      <c r="F626" s="969"/>
      <c r="G626" s="970"/>
      <c r="H626" s="971"/>
      <c r="I626" s="970"/>
      <c r="J626" s="974"/>
    </row>
    <row r="627" spans="3:10" ht="15.75">
      <c r="C627" s="963"/>
      <c r="D627" s="967"/>
      <c r="E627" s="968"/>
      <c r="F627" s="969"/>
      <c r="G627" s="970"/>
      <c r="H627" s="971"/>
      <c r="I627" s="970"/>
      <c r="J627" s="974"/>
    </row>
    <row r="628" spans="3:10" ht="15.75">
      <c r="C628" s="963"/>
      <c r="D628" s="967"/>
      <c r="E628" s="968"/>
      <c r="F628" s="969"/>
      <c r="G628" s="970"/>
      <c r="H628" s="971"/>
      <c r="I628" s="970"/>
      <c r="J628" s="974"/>
    </row>
    <row r="629" spans="3:10" ht="15.75">
      <c r="C629" s="963"/>
      <c r="D629" s="967"/>
      <c r="E629" s="968"/>
      <c r="F629" s="969"/>
      <c r="G629" s="970"/>
      <c r="H629" s="971"/>
      <c r="I629" s="970"/>
      <c r="J629" s="974"/>
    </row>
    <row r="630" spans="3:10" ht="15.75">
      <c r="C630" s="963"/>
      <c r="D630" s="967"/>
      <c r="E630" s="968"/>
      <c r="F630" s="969"/>
      <c r="G630" s="970"/>
      <c r="H630" s="971"/>
      <c r="I630" s="970"/>
      <c r="J630" s="974"/>
    </row>
    <row r="631" spans="3:10" ht="15.75">
      <c r="C631" s="963"/>
      <c r="D631" s="967"/>
      <c r="E631" s="968"/>
      <c r="F631" s="969"/>
      <c r="G631" s="970"/>
      <c r="H631" s="971"/>
      <c r="I631" s="970"/>
      <c r="J631" s="974"/>
    </row>
    <row r="632" spans="3:10" ht="15.75">
      <c r="C632" s="963"/>
      <c r="D632" s="967"/>
      <c r="E632" s="968"/>
      <c r="F632" s="969"/>
      <c r="G632" s="970"/>
      <c r="H632" s="971"/>
      <c r="I632" s="970"/>
      <c r="J632" s="974"/>
    </row>
    <row r="633" spans="3:10" ht="15.75">
      <c r="C633" s="963"/>
      <c r="D633" s="967"/>
      <c r="E633" s="968"/>
      <c r="F633" s="969"/>
      <c r="G633" s="970"/>
      <c r="H633" s="971"/>
      <c r="I633" s="970"/>
      <c r="J633" s="974"/>
    </row>
    <row r="634" spans="3:10" ht="15.75">
      <c r="C634" s="963"/>
      <c r="D634" s="967"/>
      <c r="E634" s="968"/>
      <c r="F634" s="969"/>
      <c r="G634" s="970"/>
      <c r="H634" s="971"/>
      <c r="I634" s="970"/>
      <c r="J634" s="974"/>
    </row>
    <row r="635" spans="3:10" ht="15.75">
      <c r="C635" s="963"/>
      <c r="D635" s="967"/>
      <c r="E635" s="968"/>
      <c r="F635" s="969"/>
      <c r="G635" s="970"/>
      <c r="H635" s="971"/>
      <c r="I635" s="970"/>
      <c r="J635" s="974"/>
    </row>
    <row r="636" spans="3:10" ht="15.75">
      <c r="C636" s="963"/>
      <c r="D636" s="967"/>
      <c r="E636" s="968"/>
      <c r="F636" s="969"/>
      <c r="G636" s="970"/>
      <c r="H636" s="971"/>
      <c r="I636" s="970"/>
      <c r="J636" s="974"/>
    </row>
    <row r="637" spans="3:10" ht="15.75">
      <c r="C637" s="963"/>
      <c r="D637" s="967"/>
      <c r="E637" s="968"/>
      <c r="F637" s="969"/>
      <c r="G637" s="970"/>
      <c r="H637" s="971"/>
      <c r="I637" s="970"/>
      <c r="J637" s="974"/>
    </row>
    <row r="638" spans="3:10" ht="15.75">
      <c r="C638" s="963"/>
      <c r="D638" s="967"/>
      <c r="E638" s="968"/>
      <c r="F638" s="969"/>
      <c r="G638" s="970"/>
      <c r="H638" s="971"/>
      <c r="I638" s="970"/>
      <c r="J638" s="974"/>
    </row>
    <row r="639" spans="3:10" ht="15.75">
      <c r="C639" s="963"/>
      <c r="D639" s="967"/>
      <c r="E639" s="968"/>
      <c r="F639" s="969"/>
      <c r="G639" s="970"/>
      <c r="H639" s="971"/>
      <c r="I639" s="970"/>
      <c r="J639" s="974"/>
    </row>
    <row r="640" spans="3:10" ht="15.75">
      <c r="C640" s="963"/>
      <c r="D640" s="967"/>
      <c r="E640" s="968"/>
      <c r="F640" s="969"/>
      <c r="G640" s="970"/>
      <c r="H640" s="971"/>
      <c r="I640" s="970"/>
      <c r="J640" s="974"/>
    </row>
    <row r="641" spans="3:10" ht="15.75">
      <c r="C641" s="963"/>
      <c r="D641" s="967"/>
      <c r="E641" s="968"/>
      <c r="F641" s="969"/>
      <c r="G641" s="970"/>
      <c r="H641" s="971"/>
      <c r="I641" s="970"/>
      <c r="J641" s="974"/>
    </row>
    <row r="642" spans="3:10" ht="15.75">
      <c r="C642" s="963"/>
      <c r="D642" s="967"/>
      <c r="E642" s="968"/>
      <c r="F642" s="969"/>
      <c r="G642" s="970"/>
      <c r="H642" s="971"/>
      <c r="I642" s="970"/>
      <c r="J642" s="974"/>
    </row>
    <row r="643" spans="3:10" ht="15.75">
      <c r="C643" s="963"/>
      <c r="D643" s="967"/>
      <c r="E643" s="968"/>
      <c r="F643" s="969"/>
      <c r="G643" s="970"/>
      <c r="H643" s="971"/>
      <c r="I643" s="970"/>
      <c r="J643" s="974"/>
    </row>
    <row r="644" spans="3:10" ht="15.75">
      <c r="C644" s="963"/>
      <c r="D644" s="967"/>
      <c r="E644" s="968"/>
      <c r="F644" s="969"/>
      <c r="G644" s="970"/>
      <c r="H644" s="971"/>
      <c r="I644" s="970"/>
      <c r="J644" s="974"/>
    </row>
    <row r="645" spans="3:10" ht="15.75">
      <c r="C645" s="963"/>
      <c r="D645" s="967"/>
      <c r="E645" s="968"/>
      <c r="F645" s="969"/>
      <c r="G645" s="970"/>
      <c r="H645" s="971"/>
      <c r="I645" s="970"/>
      <c r="J645" s="974"/>
    </row>
    <row r="646" spans="3:10" ht="15.75">
      <c r="C646" s="963"/>
      <c r="D646" s="967"/>
      <c r="E646" s="968"/>
      <c r="F646" s="969"/>
      <c r="G646" s="970"/>
      <c r="H646" s="971"/>
      <c r="I646" s="970"/>
      <c r="J646" s="974"/>
    </row>
    <row r="647" spans="3:10" ht="15.75">
      <c r="C647" s="963"/>
      <c r="D647" s="967"/>
      <c r="E647" s="968"/>
      <c r="F647" s="969"/>
      <c r="G647" s="970"/>
      <c r="H647" s="971"/>
      <c r="I647" s="970"/>
      <c r="J647" s="974"/>
    </row>
    <row r="648" spans="3:10" ht="15.75">
      <c r="C648" s="963"/>
      <c r="D648" s="967"/>
      <c r="E648" s="968"/>
      <c r="F648" s="969"/>
      <c r="G648" s="970"/>
      <c r="H648" s="971"/>
      <c r="I648" s="970"/>
      <c r="J648" s="974"/>
    </row>
    <row r="649" spans="3:10" ht="15.75">
      <c r="C649" s="963"/>
      <c r="D649" s="967"/>
      <c r="E649" s="968"/>
      <c r="F649" s="969"/>
      <c r="G649" s="970"/>
      <c r="H649" s="971"/>
      <c r="I649" s="970"/>
      <c r="J649" s="974"/>
    </row>
    <row r="650" spans="3:10" ht="15.75">
      <c r="C650" s="963"/>
      <c r="D650" s="967"/>
      <c r="E650" s="968"/>
      <c r="F650" s="969"/>
      <c r="G650" s="970"/>
      <c r="H650" s="971"/>
      <c r="I650" s="970"/>
      <c r="J650" s="974"/>
    </row>
    <row r="651" spans="3:10" ht="15.75">
      <c r="C651" s="963"/>
      <c r="D651" s="967"/>
      <c r="E651" s="968"/>
      <c r="F651" s="969"/>
      <c r="G651" s="970"/>
      <c r="H651" s="971"/>
      <c r="I651" s="970"/>
      <c r="J651" s="974"/>
    </row>
    <row r="652" spans="3:10" ht="15.75">
      <c r="C652" s="963"/>
      <c r="D652" s="967"/>
      <c r="E652" s="968"/>
      <c r="F652" s="969"/>
      <c r="G652" s="970"/>
      <c r="H652" s="971"/>
      <c r="I652" s="970"/>
      <c r="J652" s="974"/>
    </row>
    <row r="653" spans="3:10" ht="15.75">
      <c r="C653" s="963"/>
      <c r="D653" s="967"/>
      <c r="E653" s="968"/>
      <c r="F653" s="969"/>
      <c r="G653" s="970"/>
      <c r="H653" s="971"/>
      <c r="I653" s="970"/>
      <c r="J653" s="974"/>
    </row>
    <row r="654" spans="3:10" ht="15.75">
      <c r="C654" s="963"/>
      <c r="D654" s="967"/>
      <c r="E654" s="968"/>
      <c r="F654" s="969"/>
      <c r="G654" s="970"/>
      <c r="H654" s="971"/>
      <c r="I654" s="970"/>
      <c r="J654" s="974"/>
    </row>
    <row r="655" spans="3:10" ht="15.75">
      <c r="C655" s="963"/>
      <c r="D655" s="967"/>
      <c r="E655" s="968"/>
      <c r="F655" s="969"/>
      <c r="G655" s="970"/>
      <c r="H655" s="971"/>
      <c r="I655" s="970"/>
      <c r="J655" s="974"/>
    </row>
    <row r="656" spans="3:10" ht="15.75">
      <c r="C656" s="963"/>
      <c r="D656" s="967"/>
      <c r="E656" s="968"/>
      <c r="F656" s="969"/>
      <c r="G656" s="970"/>
      <c r="H656" s="971"/>
      <c r="I656" s="970"/>
      <c r="J656" s="974"/>
    </row>
    <row r="657" spans="3:10" ht="15.75">
      <c r="C657" s="963"/>
      <c r="D657" s="967"/>
      <c r="E657" s="968"/>
      <c r="F657" s="969"/>
      <c r="G657" s="970"/>
      <c r="H657" s="971"/>
      <c r="I657" s="970"/>
      <c r="J657" s="974"/>
    </row>
    <row r="658" spans="3:10" ht="15.75">
      <c r="C658" s="963"/>
      <c r="D658" s="967"/>
      <c r="E658" s="968"/>
      <c r="F658" s="969"/>
      <c r="G658" s="970"/>
      <c r="H658" s="971"/>
      <c r="I658" s="970"/>
      <c r="J658" s="974"/>
    </row>
    <row r="659" spans="3:10" ht="15.75">
      <c r="C659" s="963"/>
      <c r="D659" s="967"/>
      <c r="E659" s="968"/>
      <c r="F659" s="969"/>
      <c r="G659" s="970"/>
      <c r="H659" s="971"/>
      <c r="I659" s="970"/>
      <c r="J659" s="974"/>
    </row>
    <row r="660" spans="3:10" ht="15.75">
      <c r="C660" s="963"/>
      <c r="D660" s="967"/>
      <c r="E660" s="968"/>
      <c r="F660" s="969"/>
      <c r="G660" s="970"/>
      <c r="H660" s="971"/>
      <c r="I660" s="970"/>
      <c r="J660" s="974"/>
    </row>
    <row r="661" spans="3:10" ht="15.75">
      <c r="C661" s="963"/>
      <c r="D661" s="967"/>
      <c r="E661" s="968"/>
      <c r="F661" s="969"/>
      <c r="G661" s="970"/>
      <c r="H661" s="971"/>
      <c r="I661" s="970"/>
      <c r="J661" s="974"/>
    </row>
    <row r="662" spans="3:10" ht="15.75">
      <c r="C662" s="963"/>
      <c r="D662" s="967"/>
      <c r="E662" s="968"/>
      <c r="F662" s="969"/>
      <c r="G662" s="970"/>
      <c r="H662" s="971"/>
      <c r="I662" s="970"/>
      <c r="J662" s="974"/>
    </row>
    <row r="663" spans="3:10" ht="15.75">
      <c r="C663" s="963"/>
      <c r="D663" s="967"/>
      <c r="E663" s="968"/>
      <c r="F663" s="969"/>
      <c r="G663" s="970"/>
      <c r="H663" s="971"/>
      <c r="I663" s="970"/>
      <c r="J663" s="974"/>
    </row>
    <row r="664" spans="3:10" ht="15.75">
      <c r="C664" s="963"/>
      <c r="D664" s="967"/>
      <c r="E664" s="968"/>
      <c r="F664" s="969"/>
      <c r="G664" s="970"/>
      <c r="H664" s="971"/>
      <c r="I664" s="970"/>
      <c r="J664" s="974"/>
    </row>
    <row r="665" spans="3:10" ht="15.75">
      <c r="C665" s="963"/>
      <c r="D665" s="967"/>
      <c r="E665" s="968"/>
      <c r="F665" s="969"/>
      <c r="G665" s="970"/>
      <c r="H665" s="971"/>
      <c r="I665" s="970"/>
      <c r="J665" s="974"/>
    </row>
    <row r="666" spans="3:10" ht="15.75">
      <c r="C666" s="963"/>
      <c r="D666" s="967"/>
      <c r="E666" s="968"/>
      <c r="F666" s="969"/>
      <c r="G666" s="970"/>
      <c r="H666" s="971"/>
      <c r="I666" s="970"/>
      <c r="J666" s="974"/>
    </row>
    <row r="667" spans="3:10" ht="15.75">
      <c r="C667" s="963"/>
      <c r="D667" s="967"/>
      <c r="E667" s="968"/>
      <c r="F667" s="969"/>
      <c r="G667" s="970"/>
      <c r="H667" s="971"/>
      <c r="I667" s="970"/>
      <c r="J667" s="974"/>
    </row>
    <row r="668" spans="3:10" ht="15.75">
      <c r="C668" s="963"/>
      <c r="D668" s="967"/>
      <c r="E668" s="968"/>
      <c r="F668" s="969"/>
      <c r="G668" s="970"/>
      <c r="H668" s="971"/>
      <c r="I668" s="970"/>
      <c r="J668" s="974"/>
    </row>
    <row r="669" spans="3:10" ht="15.75">
      <c r="C669" s="963"/>
      <c r="D669" s="967"/>
      <c r="E669" s="968"/>
      <c r="F669" s="969"/>
      <c r="G669" s="970"/>
      <c r="H669" s="971"/>
      <c r="I669" s="970"/>
      <c r="J669" s="974"/>
    </row>
    <row r="670" spans="3:10" ht="15.75">
      <c r="C670" s="963"/>
      <c r="D670" s="967"/>
      <c r="E670" s="968"/>
      <c r="F670" s="969"/>
      <c r="G670" s="970"/>
      <c r="H670" s="971"/>
      <c r="I670" s="970"/>
      <c r="J670" s="974"/>
    </row>
    <row r="671" spans="3:10" ht="15.75">
      <c r="C671" s="963"/>
      <c r="D671" s="967"/>
      <c r="E671" s="968"/>
      <c r="F671" s="969"/>
      <c r="G671" s="970"/>
      <c r="H671" s="971"/>
      <c r="I671" s="970"/>
      <c r="J671" s="974"/>
    </row>
    <row r="672" spans="3:10" ht="15.75">
      <c r="C672" s="963"/>
      <c r="D672" s="967"/>
      <c r="E672" s="968"/>
      <c r="F672" s="969"/>
      <c r="G672" s="970"/>
      <c r="H672" s="971"/>
      <c r="I672" s="970"/>
      <c r="J672" s="974"/>
    </row>
    <row r="673" spans="3:10" ht="15.75">
      <c r="C673" s="963"/>
      <c r="D673" s="967"/>
      <c r="E673" s="968"/>
      <c r="F673" s="969"/>
      <c r="G673" s="970"/>
      <c r="H673" s="971"/>
      <c r="I673" s="970"/>
      <c r="J673" s="974"/>
    </row>
    <row r="674" spans="3:10" ht="15.75">
      <c r="C674" s="963"/>
      <c r="D674" s="967"/>
      <c r="E674" s="968"/>
      <c r="F674" s="969"/>
      <c r="G674" s="970"/>
      <c r="H674" s="971"/>
      <c r="I674" s="970"/>
      <c r="J674" s="974"/>
    </row>
    <row r="675" spans="3:10" ht="15.75">
      <c r="C675" s="963"/>
      <c r="D675" s="967"/>
      <c r="E675" s="968"/>
      <c r="F675" s="969"/>
      <c r="G675" s="970"/>
      <c r="H675" s="971"/>
      <c r="I675" s="970"/>
      <c r="J675" s="974"/>
    </row>
    <row r="676" spans="3:10" ht="15.75">
      <c r="C676" s="963"/>
      <c r="D676" s="967"/>
      <c r="E676" s="968"/>
      <c r="F676" s="969"/>
      <c r="G676" s="970"/>
      <c r="H676" s="971"/>
      <c r="I676" s="970"/>
      <c r="J676" s="974"/>
    </row>
    <row r="677" spans="3:10" ht="15.75">
      <c r="C677" s="963"/>
      <c r="D677" s="967"/>
      <c r="E677" s="968"/>
      <c r="F677" s="969"/>
      <c r="G677" s="970"/>
      <c r="H677" s="971"/>
      <c r="I677" s="970"/>
      <c r="J677" s="974"/>
    </row>
    <row r="678" spans="3:10" ht="15.75">
      <c r="C678" s="963"/>
      <c r="D678" s="967"/>
      <c r="E678" s="968"/>
      <c r="F678" s="969"/>
      <c r="G678" s="970"/>
      <c r="H678" s="971"/>
      <c r="I678" s="970"/>
      <c r="J678" s="974"/>
    </row>
    <row r="679" spans="3:10" ht="15.75">
      <c r="C679" s="963"/>
      <c r="D679" s="967"/>
      <c r="E679" s="968"/>
      <c r="F679" s="969"/>
      <c r="G679" s="970"/>
      <c r="H679" s="971"/>
      <c r="I679" s="970"/>
      <c r="J679" s="974"/>
    </row>
    <row r="680" spans="3:10" ht="15.75">
      <c r="C680" s="963"/>
      <c r="D680" s="967"/>
      <c r="E680" s="968"/>
      <c r="F680" s="969"/>
      <c r="G680" s="970"/>
      <c r="H680" s="971"/>
      <c r="I680" s="970"/>
      <c r="J680" s="974"/>
    </row>
    <row r="681" spans="3:10" ht="15.75">
      <c r="C681" s="963"/>
      <c r="D681" s="967"/>
      <c r="E681" s="968"/>
      <c r="F681" s="969"/>
      <c r="G681" s="970"/>
      <c r="H681" s="971"/>
      <c r="I681" s="970"/>
      <c r="J681" s="974"/>
    </row>
    <row r="682" spans="3:10" ht="15.75">
      <c r="C682" s="963"/>
      <c r="D682" s="967"/>
      <c r="E682" s="968"/>
      <c r="F682" s="969"/>
      <c r="G682" s="970"/>
      <c r="H682" s="971"/>
      <c r="I682" s="970"/>
      <c r="J682" s="974"/>
    </row>
    <row r="683" spans="3:10" ht="15.75">
      <c r="C683" s="963"/>
      <c r="D683" s="967"/>
      <c r="E683" s="968"/>
      <c r="F683" s="969"/>
      <c r="G683" s="970"/>
      <c r="H683" s="971"/>
      <c r="I683" s="970"/>
      <c r="J683" s="974"/>
    </row>
    <row r="684" spans="3:10" ht="15.75">
      <c r="C684" s="963"/>
      <c r="D684" s="967"/>
      <c r="E684" s="968"/>
      <c r="F684" s="969"/>
      <c r="G684" s="970"/>
      <c r="H684" s="971"/>
      <c r="I684" s="970"/>
      <c r="J684" s="974"/>
    </row>
    <row r="685" spans="3:10" ht="15.75">
      <c r="C685" s="963"/>
      <c r="D685" s="967"/>
      <c r="E685" s="968"/>
      <c r="F685" s="969"/>
      <c r="G685" s="970"/>
      <c r="H685" s="971"/>
      <c r="I685" s="970"/>
      <c r="J685" s="974"/>
    </row>
    <row r="686" spans="3:10" ht="15.75">
      <c r="C686" s="963"/>
      <c r="D686" s="967"/>
      <c r="E686" s="968"/>
      <c r="F686" s="969"/>
      <c r="G686" s="970"/>
      <c r="H686" s="971"/>
      <c r="I686" s="970"/>
      <c r="J686" s="974"/>
    </row>
    <row r="687" spans="3:10" ht="15.75">
      <c r="C687" s="963"/>
      <c r="D687" s="967"/>
      <c r="E687" s="968"/>
      <c r="F687" s="969"/>
      <c r="G687" s="970"/>
      <c r="H687" s="971"/>
      <c r="I687" s="970"/>
      <c r="J687" s="974"/>
    </row>
    <row r="688" spans="3:10" ht="15.75">
      <c r="C688" s="963"/>
      <c r="D688" s="967"/>
      <c r="E688" s="968"/>
      <c r="F688" s="969"/>
      <c r="G688" s="970"/>
      <c r="H688" s="971"/>
      <c r="I688" s="970"/>
      <c r="J688" s="974"/>
    </row>
    <row r="689" spans="3:10" ht="15.75">
      <c r="C689" s="963"/>
      <c r="D689" s="967"/>
      <c r="E689" s="968"/>
      <c r="F689" s="969"/>
      <c r="G689" s="970"/>
      <c r="H689" s="971"/>
      <c r="I689" s="970"/>
      <c r="J689" s="974"/>
    </row>
    <row r="690" spans="3:10" ht="15.75">
      <c r="C690" s="963"/>
      <c r="D690" s="967"/>
      <c r="E690" s="968"/>
      <c r="F690" s="969"/>
      <c r="G690" s="970"/>
      <c r="H690" s="971"/>
      <c r="I690" s="970"/>
      <c r="J690" s="974"/>
    </row>
    <row r="691" spans="3:10" ht="15.75">
      <c r="C691" s="963"/>
      <c r="D691" s="967"/>
      <c r="E691" s="968"/>
      <c r="F691" s="969"/>
      <c r="G691" s="970"/>
      <c r="H691" s="971"/>
      <c r="I691" s="970"/>
      <c r="J691" s="974"/>
    </row>
    <row r="692" spans="3:10" ht="15.75">
      <c r="C692" s="963"/>
      <c r="D692" s="967"/>
      <c r="E692" s="968"/>
      <c r="F692" s="969"/>
      <c r="G692" s="970"/>
      <c r="H692" s="971"/>
      <c r="I692" s="970"/>
      <c r="J692" s="974"/>
    </row>
    <row r="693" spans="3:10" ht="15.75">
      <c r="C693" s="963"/>
      <c r="D693" s="967"/>
      <c r="E693" s="968"/>
      <c r="F693" s="969"/>
      <c r="G693" s="970"/>
      <c r="H693" s="971"/>
      <c r="I693" s="970"/>
      <c r="J693" s="974"/>
    </row>
    <row r="694" spans="3:10" ht="15.75">
      <c r="C694" s="963"/>
      <c r="D694" s="967"/>
      <c r="E694" s="968"/>
      <c r="F694" s="969"/>
      <c r="G694" s="970"/>
      <c r="H694" s="971"/>
      <c r="I694" s="970"/>
      <c r="J694" s="974"/>
    </row>
    <row r="695" spans="3:10" ht="15.75">
      <c r="C695" s="963"/>
      <c r="D695" s="967"/>
      <c r="E695" s="968"/>
      <c r="F695" s="969"/>
      <c r="G695" s="970"/>
      <c r="H695" s="971"/>
      <c r="I695" s="970"/>
      <c r="J695" s="974"/>
    </row>
    <row r="696" spans="3:10" ht="15.75">
      <c r="C696" s="963"/>
      <c r="D696" s="967"/>
      <c r="E696" s="968"/>
      <c r="F696" s="969"/>
      <c r="G696" s="970"/>
      <c r="H696" s="971"/>
      <c r="I696" s="970"/>
      <c r="J696" s="974"/>
    </row>
    <row r="697" spans="3:10" ht="15.75">
      <c r="C697" s="963"/>
      <c r="D697" s="967"/>
      <c r="E697" s="968"/>
      <c r="F697" s="969"/>
      <c r="G697" s="970"/>
      <c r="H697" s="971"/>
      <c r="I697" s="970"/>
      <c r="J697" s="974"/>
    </row>
    <row r="698" spans="3:10" ht="15.75">
      <c r="C698" s="963"/>
      <c r="D698" s="967"/>
      <c r="E698" s="968"/>
      <c r="F698" s="969"/>
      <c r="G698" s="970"/>
      <c r="H698" s="971"/>
      <c r="I698" s="970"/>
      <c r="J698" s="974"/>
    </row>
    <row r="699" spans="3:10" ht="15.75">
      <c r="C699" s="963"/>
      <c r="D699" s="967"/>
      <c r="E699" s="968"/>
      <c r="F699" s="969"/>
      <c r="G699" s="970"/>
      <c r="H699" s="971"/>
      <c r="I699" s="970"/>
      <c r="J699" s="974"/>
    </row>
    <row r="700" spans="3:10" ht="15.75">
      <c r="C700" s="963"/>
      <c r="D700" s="967"/>
      <c r="E700" s="968"/>
      <c r="F700" s="969"/>
      <c r="G700" s="970"/>
      <c r="H700" s="971"/>
      <c r="I700" s="970"/>
      <c r="J700" s="974"/>
    </row>
    <row r="701" spans="3:10" ht="15.75">
      <c r="C701" s="963"/>
      <c r="D701" s="967"/>
      <c r="E701" s="968"/>
      <c r="F701" s="969"/>
      <c r="G701" s="970"/>
      <c r="H701" s="971"/>
      <c r="I701" s="970"/>
      <c r="J701" s="974"/>
    </row>
    <row r="702" spans="3:10" ht="15.75">
      <c r="C702" s="963"/>
      <c r="D702" s="967"/>
      <c r="E702" s="968"/>
      <c r="F702" s="969"/>
      <c r="G702" s="970"/>
      <c r="H702" s="971"/>
      <c r="I702" s="970"/>
      <c r="J702" s="974"/>
    </row>
    <row r="703" spans="3:10" ht="15.75">
      <c r="C703" s="963"/>
      <c r="D703" s="967"/>
      <c r="E703" s="968"/>
      <c r="F703" s="969"/>
      <c r="G703" s="970"/>
      <c r="H703" s="971"/>
      <c r="I703" s="970"/>
      <c r="J703" s="974"/>
    </row>
    <row r="704" spans="3:10" ht="15.75">
      <c r="C704" s="963"/>
      <c r="D704" s="967"/>
      <c r="E704" s="968"/>
      <c r="F704" s="969"/>
      <c r="G704" s="970"/>
      <c r="H704" s="971"/>
      <c r="I704" s="970"/>
      <c r="J704" s="974"/>
    </row>
    <row r="705" spans="3:10" ht="15.75">
      <c r="C705" s="963"/>
      <c r="D705" s="967"/>
      <c r="E705" s="968"/>
      <c r="F705" s="969"/>
      <c r="G705" s="970"/>
      <c r="H705" s="971"/>
      <c r="I705" s="970"/>
      <c r="J705" s="974"/>
    </row>
    <row r="706" spans="3:10" ht="15.75">
      <c r="C706" s="963"/>
      <c r="D706" s="967"/>
      <c r="E706" s="968"/>
      <c r="F706" s="969"/>
      <c r="G706" s="970"/>
      <c r="H706" s="971"/>
      <c r="I706" s="970"/>
      <c r="J706" s="974"/>
    </row>
    <row r="707" spans="3:10" ht="15.75">
      <c r="C707" s="963"/>
      <c r="D707" s="967"/>
      <c r="E707" s="968"/>
      <c r="F707" s="969"/>
      <c r="G707" s="970"/>
      <c r="H707" s="971"/>
      <c r="I707" s="970"/>
      <c r="J707" s="974"/>
    </row>
    <row r="708" spans="3:10" ht="15.75">
      <c r="C708" s="963"/>
      <c r="D708" s="967"/>
      <c r="E708" s="968"/>
      <c r="F708" s="969"/>
      <c r="G708" s="970"/>
      <c r="H708" s="971"/>
      <c r="I708" s="970"/>
      <c r="J708" s="974"/>
    </row>
    <row r="709" spans="3:10" ht="15.75">
      <c r="C709" s="963"/>
      <c r="D709" s="967"/>
      <c r="E709" s="968"/>
      <c r="F709" s="969"/>
      <c r="G709" s="970"/>
      <c r="H709" s="971"/>
      <c r="I709" s="970"/>
      <c r="J709" s="974"/>
    </row>
    <row r="710" spans="3:10" ht="15.75">
      <c r="C710" s="963"/>
      <c r="D710" s="967"/>
      <c r="E710" s="968"/>
      <c r="F710" s="969"/>
      <c r="G710" s="970"/>
      <c r="H710" s="971"/>
      <c r="I710" s="970"/>
      <c r="J710" s="974"/>
    </row>
    <row r="711" spans="3:10" ht="15.75">
      <c r="C711" s="963"/>
      <c r="D711" s="967"/>
      <c r="E711" s="968"/>
      <c r="F711" s="969"/>
      <c r="G711" s="970"/>
      <c r="H711" s="971"/>
      <c r="I711" s="970"/>
      <c r="J711" s="974"/>
    </row>
    <row r="712" spans="3:10" ht="15.75">
      <c r="C712" s="963"/>
      <c r="D712" s="967"/>
      <c r="E712" s="968"/>
      <c r="F712" s="969"/>
      <c r="G712" s="970"/>
      <c r="H712" s="971"/>
      <c r="I712" s="970"/>
      <c r="J712" s="974"/>
    </row>
    <row r="713" spans="3:10" ht="15.75">
      <c r="C713" s="963"/>
      <c r="D713" s="967"/>
      <c r="E713" s="968"/>
      <c r="F713" s="969"/>
      <c r="G713" s="970"/>
      <c r="H713" s="971"/>
      <c r="I713" s="970"/>
      <c r="J713" s="974"/>
    </row>
    <row r="714" spans="3:10" ht="15.75">
      <c r="C714" s="963"/>
      <c r="D714" s="967"/>
      <c r="E714" s="968"/>
      <c r="F714" s="969"/>
      <c r="G714" s="970"/>
      <c r="H714" s="971"/>
      <c r="I714" s="970"/>
      <c r="J714" s="974"/>
    </row>
    <row r="715" spans="3:10" ht="15.75">
      <c r="C715" s="963"/>
      <c r="D715" s="967"/>
      <c r="E715" s="968"/>
      <c r="F715" s="969"/>
      <c r="G715" s="970"/>
      <c r="H715" s="971"/>
      <c r="I715" s="970"/>
      <c r="J715" s="974"/>
    </row>
    <row r="716" spans="3:10" ht="15.75">
      <c r="C716" s="963"/>
      <c r="D716" s="967"/>
      <c r="E716" s="968"/>
      <c r="F716" s="969"/>
      <c r="G716" s="970"/>
      <c r="H716" s="971"/>
      <c r="I716" s="970"/>
      <c r="J716" s="974"/>
    </row>
    <row r="717" spans="3:10" ht="15.75">
      <c r="C717" s="963"/>
      <c r="D717" s="967"/>
      <c r="E717" s="968"/>
      <c r="F717" s="969"/>
      <c r="G717" s="970"/>
      <c r="H717" s="971"/>
      <c r="I717" s="970"/>
      <c r="J717" s="974"/>
    </row>
    <row r="718" spans="3:10" ht="15.75">
      <c r="C718" s="963"/>
      <c r="D718" s="967"/>
      <c r="E718" s="968"/>
      <c r="F718" s="969"/>
      <c r="G718" s="970"/>
      <c r="H718" s="971"/>
      <c r="I718" s="970"/>
      <c r="J718" s="974"/>
    </row>
    <row r="719" spans="3:10" ht="15.75">
      <c r="C719" s="963"/>
      <c r="D719" s="967"/>
      <c r="E719" s="968"/>
      <c r="F719" s="969"/>
      <c r="G719" s="970"/>
      <c r="H719" s="971"/>
      <c r="I719" s="970"/>
      <c r="J719" s="974"/>
    </row>
    <row r="720" spans="3:10" ht="15.75">
      <c r="C720" s="963"/>
      <c r="D720" s="967"/>
      <c r="E720" s="968"/>
      <c r="F720" s="969"/>
      <c r="G720" s="970"/>
      <c r="H720" s="971"/>
      <c r="I720" s="970"/>
      <c r="J720" s="974"/>
    </row>
    <row r="721" spans="3:10" ht="15.75">
      <c r="C721" s="963"/>
      <c r="D721" s="967"/>
      <c r="E721" s="968"/>
      <c r="F721" s="969"/>
      <c r="G721" s="970"/>
      <c r="H721" s="971"/>
      <c r="I721" s="970"/>
      <c r="J721" s="974"/>
    </row>
    <row r="722" spans="3:10" ht="15.75">
      <c r="C722" s="963"/>
      <c r="D722" s="967"/>
      <c r="E722" s="968"/>
      <c r="F722" s="969"/>
      <c r="G722" s="970"/>
      <c r="H722" s="971"/>
      <c r="I722" s="970"/>
      <c r="J722" s="974"/>
    </row>
    <row r="723" spans="3:10" ht="15.75">
      <c r="C723" s="963"/>
      <c r="D723" s="967"/>
      <c r="E723" s="968"/>
      <c r="F723" s="969"/>
      <c r="G723" s="970"/>
      <c r="H723" s="971"/>
      <c r="I723" s="970"/>
      <c r="J723" s="974"/>
    </row>
    <row r="724" spans="3:10" ht="15.75">
      <c r="C724" s="963"/>
      <c r="D724" s="967"/>
      <c r="E724" s="968"/>
      <c r="F724" s="969"/>
      <c r="G724" s="970"/>
      <c r="H724" s="971"/>
      <c r="I724" s="970"/>
      <c r="J724" s="974"/>
    </row>
    <row r="725" spans="3:10" ht="15.75">
      <c r="C725" s="963"/>
      <c r="D725" s="967"/>
      <c r="E725" s="968"/>
      <c r="F725" s="969"/>
      <c r="G725" s="970"/>
      <c r="H725" s="971"/>
      <c r="I725" s="970"/>
      <c r="J725" s="974"/>
    </row>
    <row r="726" spans="3:10" ht="15.75">
      <c r="C726" s="963"/>
      <c r="D726" s="967"/>
      <c r="E726" s="968"/>
      <c r="F726" s="969"/>
      <c r="G726" s="970"/>
      <c r="H726" s="971"/>
      <c r="I726" s="970"/>
      <c r="J726" s="974"/>
    </row>
    <row r="727" spans="3:10" ht="15.75">
      <c r="C727" s="963"/>
      <c r="D727" s="967"/>
      <c r="E727" s="968"/>
      <c r="F727" s="969"/>
      <c r="G727" s="970"/>
      <c r="H727" s="971"/>
      <c r="I727" s="970"/>
      <c r="J727" s="974"/>
    </row>
    <row r="728" spans="3:10" ht="15.75">
      <c r="C728" s="963"/>
      <c r="D728" s="967"/>
      <c r="E728" s="968"/>
      <c r="F728" s="969"/>
      <c r="G728" s="970"/>
      <c r="H728" s="971"/>
      <c r="I728" s="970"/>
      <c r="J728" s="974"/>
    </row>
    <row r="729" spans="3:10" ht="15.75">
      <c r="C729" s="963"/>
      <c r="D729" s="967"/>
      <c r="E729" s="968"/>
      <c r="F729" s="969"/>
      <c r="G729" s="970"/>
      <c r="H729" s="971"/>
      <c r="I729" s="970"/>
      <c r="J729" s="974"/>
    </row>
    <row r="730" spans="3:10" ht="15.75">
      <c r="C730" s="963"/>
      <c r="D730" s="967"/>
      <c r="E730" s="968"/>
      <c r="F730" s="969"/>
      <c r="G730" s="970"/>
      <c r="H730" s="971"/>
      <c r="I730" s="970"/>
      <c r="J730" s="974"/>
    </row>
    <row r="731" spans="3:10" ht="15.75">
      <c r="C731" s="963"/>
      <c r="D731" s="967"/>
      <c r="E731" s="968"/>
      <c r="F731" s="969"/>
      <c r="G731" s="970"/>
      <c r="H731" s="971"/>
      <c r="I731" s="970"/>
      <c r="J731" s="974"/>
    </row>
    <row r="732" spans="3:10" ht="15.75">
      <c r="C732" s="963"/>
      <c r="D732" s="967"/>
      <c r="E732" s="968"/>
      <c r="F732" s="969"/>
      <c r="G732" s="970"/>
      <c r="H732" s="971"/>
      <c r="I732" s="970"/>
      <c r="J732" s="974"/>
    </row>
    <row r="733" spans="3:10" ht="15.75">
      <c r="C733" s="963"/>
      <c r="D733" s="967"/>
      <c r="E733" s="968"/>
      <c r="F733" s="969"/>
      <c r="G733" s="970"/>
      <c r="H733" s="971"/>
      <c r="I733" s="970"/>
      <c r="J733" s="974"/>
    </row>
    <row r="734" spans="3:10" ht="15.75">
      <c r="C734" s="963"/>
      <c r="D734" s="967"/>
      <c r="E734" s="968"/>
      <c r="F734" s="969"/>
      <c r="G734" s="970"/>
      <c r="H734" s="971"/>
      <c r="I734" s="970"/>
      <c r="J734" s="974"/>
    </row>
    <row r="735" spans="3:10" ht="15.75">
      <c r="C735" s="963"/>
      <c r="D735" s="967"/>
      <c r="E735" s="968"/>
      <c r="F735" s="969"/>
      <c r="G735" s="970"/>
      <c r="H735" s="971"/>
      <c r="I735" s="970"/>
      <c r="J735" s="974"/>
    </row>
    <row r="736" spans="3:10" ht="15.75">
      <c r="C736" s="963"/>
      <c r="D736" s="967"/>
      <c r="E736" s="968"/>
      <c r="F736" s="969"/>
      <c r="G736" s="970"/>
      <c r="H736" s="971"/>
      <c r="I736" s="970"/>
      <c r="J736" s="974"/>
    </row>
    <row r="737" spans="3:10" ht="15.75">
      <c r="C737" s="963"/>
      <c r="D737" s="967"/>
      <c r="E737" s="968"/>
      <c r="F737" s="969"/>
      <c r="G737" s="970"/>
      <c r="H737" s="971"/>
      <c r="I737" s="970"/>
      <c r="J737" s="974"/>
    </row>
    <row r="738" spans="3:10" ht="15.75">
      <c r="C738" s="963"/>
      <c r="D738" s="967"/>
      <c r="E738" s="968"/>
      <c r="F738" s="969"/>
      <c r="G738" s="970"/>
      <c r="H738" s="971"/>
      <c r="I738" s="970"/>
      <c r="J738" s="974"/>
    </row>
    <row r="739" spans="3:10" ht="15.75">
      <c r="C739" s="963"/>
      <c r="D739" s="967"/>
      <c r="E739" s="968"/>
      <c r="F739" s="969"/>
      <c r="G739" s="970"/>
      <c r="H739" s="971"/>
      <c r="I739" s="970"/>
      <c r="J739" s="974"/>
    </row>
    <row r="740" spans="3:10" ht="15.75">
      <c r="C740" s="963"/>
      <c r="D740" s="967"/>
      <c r="E740" s="968"/>
      <c r="F740" s="969"/>
      <c r="G740" s="970"/>
      <c r="H740" s="971"/>
      <c r="I740" s="970"/>
      <c r="J740" s="974"/>
    </row>
    <row r="741" spans="3:10" ht="15.75">
      <c r="C741" s="963"/>
      <c r="D741" s="967"/>
      <c r="E741" s="968"/>
      <c r="F741" s="969"/>
      <c r="G741" s="970"/>
      <c r="H741" s="971"/>
      <c r="I741" s="970"/>
      <c r="J741" s="974"/>
    </row>
    <row r="742" spans="3:10" ht="15.75">
      <c r="C742" s="963"/>
      <c r="D742" s="967"/>
      <c r="E742" s="968"/>
      <c r="F742" s="969"/>
      <c r="G742" s="970"/>
      <c r="H742" s="971"/>
      <c r="I742" s="970"/>
      <c r="J742" s="974"/>
    </row>
    <row r="743" spans="3:10" ht="15.75">
      <c r="C743" s="963"/>
      <c r="D743" s="967"/>
      <c r="E743" s="968"/>
      <c r="F743" s="969"/>
      <c r="G743" s="970"/>
      <c r="H743" s="971"/>
      <c r="I743" s="970"/>
      <c r="J743" s="974"/>
    </row>
    <row r="744" spans="3:10" ht="15.75">
      <c r="C744" s="963"/>
      <c r="D744" s="967"/>
      <c r="E744" s="968"/>
      <c r="F744" s="969"/>
      <c r="G744" s="970"/>
      <c r="H744" s="971"/>
      <c r="I744" s="970"/>
      <c r="J744" s="974"/>
    </row>
    <row r="745" spans="3:10" ht="15.75">
      <c r="C745" s="963"/>
      <c r="D745" s="967"/>
      <c r="E745" s="968"/>
      <c r="F745" s="969"/>
      <c r="G745" s="970"/>
      <c r="H745" s="971"/>
      <c r="I745" s="970"/>
      <c r="J745" s="974"/>
    </row>
    <row r="746" spans="3:10" ht="15.75">
      <c r="C746" s="963"/>
      <c r="D746" s="967"/>
      <c r="E746" s="968"/>
      <c r="F746" s="969"/>
      <c r="G746" s="970"/>
      <c r="H746" s="971"/>
      <c r="I746" s="970"/>
      <c r="J746" s="974"/>
    </row>
    <row r="747" spans="3:10" ht="15.75">
      <c r="C747" s="963"/>
      <c r="D747" s="967"/>
      <c r="E747" s="968"/>
      <c r="F747" s="969"/>
      <c r="G747" s="970"/>
      <c r="H747" s="971"/>
      <c r="I747" s="970"/>
      <c r="J747" s="974"/>
    </row>
    <row r="748" spans="3:10" ht="15.75">
      <c r="C748" s="963"/>
      <c r="D748" s="967"/>
      <c r="E748" s="968"/>
      <c r="F748" s="969"/>
      <c r="G748" s="970"/>
      <c r="H748" s="971"/>
      <c r="I748" s="970"/>
      <c r="J748" s="974"/>
    </row>
    <row r="749" spans="3:10" ht="15.75">
      <c r="C749" s="963"/>
      <c r="D749" s="967"/>
      <c r="E749" s="968"/>
      <c r="F749" s="969"/>
      <c r="G749" s="970"/>
      <c r="H749" s="971"/>
      <c r="I749" s="970"/>
      <c r="J749" s="974"/>
    </row>
    <row r="750" spans="3:10" ht="15.75">
      <c r="C750" s="963"/>
      <c r="D750" s="967"/>
      <c r="E750" s="968"/>
      <c r="F750" s="969"/>
      <c r="G750" s="970"/>
      <c r="H750" s="971"/>
      <c r="I750" s="970"/>
      <c r="J750" s="974"/>
    </row>
    <row r="751" spans="3:10" ht="15.75">
      <c r="C751" s="963"/>
      <c r="D751" s="967"/>
      <c r="E751" s="968"/>
      <c r="F751" s="969"/>
      <c r="G751" s="970"/>
      <c r="H751" s="971"/>
      <c r="I751" s="970"/>
      <c r="J751" s="974"/>
    </row>
    <row r="752" spans="3:10" ht="15.75">
      <c r="C752" s="963"/>
      <c r="D752" s="967"/>
      <c r="E752" s="968"/>
      <c r="F752" s="969"/>
      <c r="G752" s="970"/>
      <c r="H752" s="971"/>
      <c r="I752" s="970"/>
      <c r="J752" s="974"/>
    </row>
    <row r="753" spans="3:10" ht="15.75">
      <c r="C753" s="963"/>
      <c r="D753" s="967"/>
      <c r="E753" s="968"/>
      <c r="F753" s="969"/>
      <c r="G753" s="970"/>
      <c r="H753" s="971"/>
      <c r="I753" s="970"/>
      <c r="J753" s="974"/>
    </row>
    <row r="754" spans="3:10" ht="15.75">
      <c r="C754" s="963"/>
      <c r="D754" s="967"/>
      <c r="E754" s="968"/>
      <c r="F754" s="969"/>
      <c r="G754" s="970"/>
      <c r="H754" s="971"/>
      <c r="I754" s="970"/>
      <c r="J754" s="974"/>
    </row>
    <row r="755" spans="3:10" ht="15.75">
      <c r="C755" s="963"/>
      <c r="D755" s="967"/>
      <c r="E755" s="968"/>
      <c r="F755" s="969"/>
      <c r="G755" s="970"/>
      <c r="H755" s="971"/>
      <c r="I755" s="970"/>
      <c r="J755" s="974"/>
    </row>
    <row r="756" spans="3:10" ht="15.75">
      <c r="C756" s="963"/>
      <c r="D756" s="967"/>
      <c r="E756" s="968"/>
      <c r="F756" s="969"/>
      <c r="G756" s="970"/>
      <c r="H756" s="971"/>
      <c r="I756" s="970"/>
      <c r="J756" s="974"/>
    </row>
    <row r="757" spans="3:10" ht="15.75">
      <c r="C757" s="963"/>
      <c r="D757" s="967"/>
      <c r="E757" s="968"/>
      <c r="F757" s="969"/>
      <c r="G757" s="970"/>
      <c r="H757" s="971"/>
      <c r="I757" s="970"/>
      <c r="J757" s="974"/>
    </row>
    <row r="758" spans="3:10" ht="15.75">
      <c r="C758" s="963"/>
      <c r="D758" s="967"/>
      <c r="E758" s="968"/>
      <c r="F758" s="969"/>
      <c r="G758" s="970"/>
      <c r="H758" s="971"/>
      <c r="I758" s="970"/>
      <c r="J758" s="974"/>
    </row>
    <row r="759" spans="3:10" ht="15.75">
      <c r="C759" s="963"/>
      <c r="D759" s="967"/>
      <c r="E759" s="968"/>
      <c r="F759" s="969"/>
      <c r="G759" s="970"/>
      <c r="H759" s="971"/>
      <c r="I759" s="970"/>
      <c r="J759" s="974"/>
    </row>
    <row r="760" spans="3:10" ht="15.75">
      <c r="C760" s="963"/>
      <c r="D760" s="967"/>
      <c r="E760" s="968"/>
      <c r="F760" s="969"/>
      <c r="G760" s="970"/>
      <c r="H760" s="971"/>
      <c r="I760" s="970"/>
      <c r="J760" s="974"/>
    </row>
    <row r="761" spans="3:10" ht="15.75">
      <c r="C761" s="963"/>
      <c r="D761" s="967"/>
      <c r="E761" s="968"/>
      <c r="F761" s="969"/>
      <c r="G761" s="970"/>
      <c r="H761" s="971"/>
      <c r="I761" s="970"/>
      <c r="J761" s="974"/>
    </row>
    <row r="762" spans="3:10" ht="15.75">
      <c r="C762" s="963"/>
      <c r="D762" s="967"/>
      <c r="E762" s="968"/>
      <c r="F762" s="969"/>
      <c r="G762" s="970"/>
      <c r="H762" s="971"/>
      <c r="I762" s="970"/>
      <c r="J762" s="974"/>
    </row>
    <row r="763" spans="3:10" ht="15.75">
      <c r="C763" s="963"/>
      <c r="D763" s="967"/>
      <c r="E763" s="968"/>
      <c r="F763" s="969"/>
      <c r="G763" s="970"/>
      <c r="H763" s="971"/>
      <c r="I763" s="970"/>
      <c r="J763" s="974"/>
    </row>
    <row r="764" spans="3:10" ht="15.75">
      <c r="C764" s="963"/>
      <c r="D764" s="967"/>
      <c r="E764" s="968"/>
      <c r="F764" s="969"/>
      <c r="G764" s="970"/>
      <c r="H764" s="971"/>
      <c r="I764" s="970"/>
      <c r="J764" s="974"/>
    </row>
    <row r="765" spans="3:10" ht="15.75">
      <c r="C765" s="963"/>
      <c r="D765" s="967"/>
      <c r="E765" s="968"/>
      <c r="F765" s="969"/>
      <c r="G765" s="970"/>
      <c r="H765" s="971"/>
      <c r="I765" s="970"/>
      <c r="J765" s="974"/>
    </row>
    <row r="766" spans="3:10" ht="15.75">
      <c r="C766" s="963"/>
      <c r="D766" s="967"/>
      <c r="E766" s="968"/>
      <c r="F766" s="969"/>
      <c r="G766" s="970"/>
      <c r="H766" s="971"/>
      <c r="I766" s="970"/>
      <c r="J766" s="974"/>
    </row>
    <row r="767" spans="3:10" ht="15.75">
      <c r="C767" s="963"/>
      <c r="D767" s="967"/>
      <c r="E767" s="968"/>
      <c r="F767" s="969"/>
      <c r="G767" s="970"/>
      <c r="H767" s="971"/>
      <c r="I767" s="970"/>
      <c r="J767" s="974"/>
    </row>
    <row r="768" spans="3:10" ht="15.75">
      <c r="C768" s="963"/>
      <c r="D768" s="967"/>
      <c r="E768" s="968"/>
      <c r="F768" s="969"/>
      <c r="G768" s="970"/>
      <c r="H768" s="971"/>
      <c r="I768" s="970"/>
      <c r="J768" s="974"/>
    </row>
    <row r="769" spans="3:10" ht="15.75">
      <c r="C769" s="963"/>
      <c r="D769" s="967"/>
      <c r="E769" s="968"/>
      <c r="F769" s="969"/>
      <c r="G769" s="970"/>
      <c r="H769" s="971"/>
      <c r="I769" s="970"/>
      <c r="J769" s="974"/>
    </row>
    <row r="770" spans="3:10" ht="15.75">
      <c r="C770" s="963"/>
      <c r="D770" s="967"/>
      <c r="E770" s="968"/>
      <c r="F770" s="969"/>
      <c r="G770" s="970"/>
      <c r="H770" s="971"/>
      <c r="I770" s="970"/>
      <c r="J770" s="974"/>
    </row>
    <row r="771" spans="3:10" ht="15.75">
      <c r="C771" s="963"/>
      <c r="D771" s="967"/>
      <c r="E771" s="968"/>
      <c r="F771" s="969"/>
      <c r="G771" s="970"/>
      <c r="H771" s="971"/>
      <c r="I771" s="970"/>
      <c r="J771" s="974"/>
    </row>
    <row r="772" spans="3:10" ht="15.75">
      <c r="C772" s="963"/>
      <c r="D772" s="967"/>
      <c r="E772" s="968"/>
      <c r="F772" s="969"/>
      <c r="G772" s="970"/>
      <c r="H772" s="971"/>
      <c r="I772" s="970"/>
      <c r="J772" s="974"/>
    </row>
    <row r="773" spans="3:10" ht="15.75">
      <c r="C773" s="963"/>
      <c r="D773" s="967"/>
      <c r="E773" s="968"/>
      <c r="F773" s="969"/>
      <c r="G773" s="970"/>
      <c r="H773" s="971"/>
      <c r="I773" s="970"/>
      <c r="J773" s="974"/>
    </row>
    <row r="774" spans="3:10" ht="15.75">
      <c r="C774" s="963"/>
      <c r="D774" s="967"/>
      <c r="E774" s="968"/>
      <c r="F774" s="969"/>
      <c r="G774" s="970"/>
      <c r="H774" s="971"/>
      <c r="I774" s="970"/>
      <c r="J774" s="974"/>
    </row>
    <row r="775" spans="3:10" ht="15.75">
      <c r="C775" s="963"/>
      <c r="D775" s="967"/>
      <c r="E775" s="968"/>
      <c r="F775" s="969"/>
      <c r="G775" s="970"/>
      <c r="H775" s="971"/>
      <c r="I775" s="970"/>
      <c r="J775" s="974"/>
    </row>
    <row r="776" spans="3:10" ht="15.75">
      <c r="C776" s="963"/>
      <c r="D776" s="967"/>
      <c r="E776" s="968"/>
      <c r="F776" s="969"/>
      <c r="G776" s="970"/>
      <c r="H776" s="971"/>
      <c r="I776" s="970"/>
      <c r="J776" s="974"/>
    </row>
    <row r="777" spans="3:10" ht="15.75">
      <c r="C777" s="963"/>
      <c r="D777" s="967"/>
      <c r="E777" s="968"/>
      <c r="F777" s="969"/>
      <c r="G777" s="970"/>
      <c r="H777" s="971"/>
      <c r="I777" s="970"/>
      <c r="J777" s="974"/>
    </row>
    <row r="778" spans="3:10" ht="15.75">
      <c r="C778" s="963"/>
      <c r="D778" s="967"/>
      <c r="E778" s="968"/>
      <c r="F778" s="969"/>
      <c r="G778" s="970"/>
      <c r="H778" s="971"/>
      <c r="I778" s="970"/>
      <c r="J778" s="974"/>
    </row>
    <row r="779" spans="3:10" ht="15.75">
      <c r="C779" s="963"/>
      <c r="D779" s="967"/>
      <c r="E779" s="968"/>
      <c r="F779" s="969"/>
      <c r="G779" s="970"/>
      <c r="H779" s="971"/>
      <c r="I779" s="970"/>
      <c r="J779" s="974"/>
    </row>
    <row r="780" spans="3:10" ht="15.75">
      <c r="C780" s="963"/>
      <c r="D780" s="967"/>
      <c r="E780" s="968"/>
      <c r="F780" s="969"/>
      <c r="G780" s="970"/>
      <c r="H780" s="971"/>
      <c r="I780" s="970"/>
      <c r="J780" s="974"/>
    </row>
    <row r="781" spans="3:10" ht="15.75">
      <c r="C781" s="963"/>
      <c r="D781" s="967"/>
      <c r="E781" s="968"/>
      <c r="F781" s="969"/>
      <c r="G781" s="970"/>
      <c r="H781" s="971"/>
      <c r="I781" s="970"/>
      <c r="J781" s="974"/>
    </row>
    <row r="782" spans="3:10" ht="15.75">
      <c r="C782" s="963"/>
      <c r="D782" s="967"/>
      <c r="E782" s="968"/>
      <c r="F782" s="969"/>
      <c r="G782" s="970"/>
      <c r="H782" s="971"/>
      <c r="I782" s="970"/>
      <c r="J782" s="974"/>
    </row>
    <row r="783" spans="3:10" ht="15.75">
      <c r="C783" s="963"/>
      <c r="D783" s="967"/>
      <c r="E783" s="968"/>
      <c r="F783" s="969"/>
      <c r="G783" s="970"/>
      <c r="H783" s="971"/>
      <c r="I783" s="970"/>
      <c r="J783" s="974"/>
    </row>
    <row r="784" spans="3:10" ht="15.75">
      <c r="C784" s="963"/>
      <c r="D784" s="967"/>
      <c r="E784" s="968"/>
      <c r="F784" s="969"/>
      <c r="G784" s="970"/>
      <c r="H784" s="971"/>
      <c r="I784" s="970"/>
      <c r="J784" s="974"/>
    </row>
    <row r="785" spans="3:10" ht="15.75">
      <c r="C785" s="963"/>
      <c r="D785" s="967"/>
      <c r="E785" s="968"/>
      <c r="F785" s="969"/>
      <c r="G785" s="970"/>
      <c r="H785" s="971"/>
      <c r="I785" s="970"/>
      <c r="J785" s="974"/>
    </row>
    <row r="786" spans="3:10" ht="15.75">
      <c r="C786" s="963"/>
      <c r="D786" s="967"/>
      <c r="E786" s="968"/>
      <c r="F786" s="969"/>
      <c r="G786" s="970"/>
      <c r="H786" s="971"/>
      <c r="I786" s="970"/>
      <c r="J786" s="974"/>
    </row>
    <row r="787" spans="3:10" ht="15.75">
      <c r="C787" s="963"/>
      <c r="D787" s="967"/>
      <c r="E787" s="968"/>
      <c r="F787" s="969"/>
      <c r="G787" s="970"/>
      <c r="H787" s="971"/>
      <c r="I787" s="970"/>
      <c r="J787" s="974"/>
    </row>
    <row r="788" spans="3:10" ht="15.75">
      <c r="C788" s="963"/>
      <c r="D788" s="967"/>
      <c r="E788" s="968"/>
      <c r="F788" s="969"/>
      <c r="G788" s="970"/>
      <c r="H788" s="971"/>
      <c r="I788" s="970"/>
      <c r="J788" s="974"/>
    </row>
    <row r="789" spans="3:10" ht="15.75">
      <c r="C789" s="963"/>
      <c r="D789" s="967"/>
      <c r="E789" s="968"/>
      <c r="F789" s="969"/>
      <c r="G789" s="970"/>
      <c r="H789" s="971"/>
      <c r="I789" s="970"/>
      <c r="J789" s="974"/>
    </row>
    <row r="790" spans="3:10" ht="15.75">
      <c r="C790" s="963"/>
      <c r="D790" s="967"/>
      <c r="E790" s="968"/>
      <c r="F790" s="969"/>
      <c r="G790" s="970"/>
      <c r="H790" s="971"/>
      <c r="I790" s="970"/>
      <c r="J790" s="974"/>
    </row>
    <row r="791" spans="3:10" ht="15.75">
      <c r="C791" s="963"/>
      <c r="D791" s="967"/>
      <c r="E791" s="968"/>
      <c r="F791" s="969"/>
      <c r="G791" s="970"/>
      <c r="H791" s="971"/>
      <c r="I791" s="970"/>
      <c r="J791" s="974"/>
    </row>
    <row r="792" spans="3:10" ht="15.75">
      <c r="C792" s="963"/>
      <c r="D792" s="967"/>
      <c r="E792" s="968"/>
      <c r="F792" s="969"/>
      <c r="G792" s="970"/>
      <c r="H792" s="971"/>
      <c r="I792" s="970"/>
      <c r="J792" s="974"/>
    </row>
    <row r="793" spans="3:10" ht="15.75">
      <c r="C793" s="963"/>
      <c r="D793" s="967"/>
      <c r="E793" s="968"/>
      <c r="F793" s="969"/>
      <c r="G793" s="970"/>
      <c r="H793" s="971"/>
      <c r="I793" s="970"/>
      <c r="J793" s="974"/>
    </row>
    <row r="794" spans="3:10" ht="15.75">
      <c r="C794" s="963"/>
      <c r="D794" s="967"/>
      <c r="E794" s="968"/>
      <c r="F794" s="969"/>
      <c r="G794" s="970"/>
      <c r="H794" s="971"/>
      <c r="I794" s="970"/>
      <c r="J794" s="974"/>
    </row>
    <row r="795" spans="3:10" ht="15.75">
      <c r="C795" s="963"/>
      <c r="D795" s="967"/>
      <c r="E795" s="968"/>
      <c r="F795" s="969"/>
      <c r="G795" s="970"/>
      <c r="H795" s="971"/>
      <c r="I795" s="970"/>
      <c r="J795" s="974"/>
    </row>
    <row r="796" spans="3:10" ht="15.75">
      <c r="C796" s="963"/>
      <c r="D796" s="967"/>
      <c r="E796" s="968"/>
      <c r="F796" s="969"/>
      <c r="G796" s="970"/>
      <c r="H796" s="971"/>
      <c r="I796" s="970"/>
      <c r="J796" s="974"/>
    </row>
    <row r="797" spans="3:10" ht="15.75">
      <c r="C797" s="963"/>
      <c r="D797" s="967"/>
      <c r="E797" s="968"/>
      <c r="F797" s="969"/>
      <c r="G797" s="970"/>
      <c r="H797" s="971"/>
      <c r="I797" s="970"/>
      <c r="J797" s="974"/>
    </row>
    <row r="798" spans="3:10" ht="15.75">
      <c r="C798" s="963"/>
      <c r="D798" s="967"/>
      <c r="E798" s="968"/>
      <c r="F798" s="969"/>
      <c r="G798" s="970"/>
      <c r="H798" s="971"/>
      <c r="I798" s="970"/>
      <c r="J798" s="974"/>
    </row>
    <row r="799" spans="3:10" ht="15.75">
      <c r="C799" s="963"/>
      <c r="D799" s="967"/>
      <c r="E799" s="968"/>
      <c r="F799" s="969"/>
      <c r="G799" s="970"/>
      <c r="H799" s="971"/>
      <c r="I799" s="970"/>
      <c r="J799" s="974"/>
    </row>
    <row r="800" spans="3:10" ht="15.75">
      <c r="C800" s="963"/>
      <c r="D800" s="967"/>
      <c r="E800" s="968"/>
      <c r="F800" s="969"/>
      <c r="G800" s="970"/>
      <c r="H800" s="971"/>
      <c r="I800" s="970"/>
      <c r="J800" s="974"/>
    </row>
    <row r="801" spans="3:10" ht="15.75">
      <c r="C801" s="963"/>
      <c r="D801" s="967"/>
      <c r="E801" s="968"/>
      <c r="F801" s="969"/>
      <c r="G801" s="970"/>
      <c r="H801" s="971"/>
      <c r="I801" s="970"/>
      <c r="J801" s="974"/>
    </row>
    <row r="802" spans="3:10" ht="15.75">
      <c r="C802" s="963"/>
      <c r="D802" s="967"/>
      <c r="E802" s="968"/>
      <c r="F802" s="969"/>
      <c r="G802" s="970"/>
      <c r="H802" s="971"/>
      <c r="I802" s="970"/>
      <c r="J802" s="974"/>
    </row>
    <row r="803" spans="3:10" ht="15.75">
      <c r="C803" s="963"/>
      <c r="D803" s="967"/>
      <c r="E803" s="968"/>
      <c r="F803" s="969"/>
      <c r="G803" s="970"/>
      <c r="H803" s="971"/>
      <c r="I803" s="970"/>
      <c r="J803" s="974"/>
    </row>
    <row r="804" spans="3:10" ht="15.75">
      <c r="C804" s="963"/>
      <c r="D804" s="967"/>
      <c r="E804" s="968"/>
      <c r="F804" s="969"/>
      <c r="G804" s="970"/>
      <c r="H804" s="971"/>
      <c r="I804" s="970"/>
      <c r="J804" s="974"/>
    </row>
    <row r="805" spans="3:10" ht="15.75">
      <c r="C805" s="963"/>
      <c r="D805" s="967"/>
      <c r="E805" s="968"/>
      <c r="F805" s="969"/>
      <c r="G805" s="970"/>
      <c r="H805" s="971"/>
      <c r="I805" s="970"/>
      <c r="J805" s="974"/>
    </row>
    <row r="806" spans="3:10" ht="15.75">
      <c r="C806" s="963"/>
      <c r="D806" s="967"/>
      <c r="E806" s="968"/>
      <c r="F806" s="969"/>
      <c r="G806" s="970"/>
      <c r="H806" s="971"/>
      <c r="I806" s="970"/>
      <c r="J806" s="974"/>
    </row>
    <row r="807" spans="3:10" ht="15.75">
      <c r="C807" s="963"/>
      <c r="D807" s="967"/>
      <c r="E807" s="968"/>
      <c r="F807" s="969"/>
      <c r="G807" s="970"/>
      <c r="H807" s="971"/>
      <c r="I807" s="970"/>
      <c r="J807" s="974"/>
    </row>
    <row r="808" spans="3:10" ht="15.75">
      <c r="C808" s="963"/>
      <c r="D808" s="967"/>
      <c r="E808" s="968"/>
      <c r="F808" s="969"/>
      <c r="G808" s="970"/>
      <c r="H808" s="971"/>
      <c r="I808" s="970"/>
      <c r="J808" s="974"/>
    </row>
    <row r="809" spans="3:10" ht="15.75">
      <c r="C809" s="963"/>
      <c r="D809" s="967"/>
      <c r="E809" s="968"/>
      <c r="F809" s="969"/>
      <c r="G809" s="970"/>
      <c r="H809" s="971"/>
      <c r="I809" s="970"/>
      <c r="J809" s="974"/>
    </row>
    <row r="810" spans="3:10" ht="15.75">
      <c r="C810" s="963"/>
      <c r="D810" s="967"/>
      <c r="E810" s="968"/>
      <c r="F810" s="969"/>
      <c r="G810" s="970"/>
      <c r="H810" s="971"/>
      <c r="I810" s="970"/>
      <c r="J810" s="974"/>
    </row>
    <row r="811" spans="3:10" ht="15.75">
      <c r="C811" s="963"/>
      <c r="D811" s="967"/>
      <c r="E811" s="968"/>
      <c r="F811" s="969"/>
      <c r="G811" s="970"/>
      <c r="H811" s="971"/>
      <c r="I811" s="970"/>
      <c r="J811" s="974"/>
    </row>
    <row r="812" spans="3:10" ht="15.75">
      <c r="C812" s="963"/>
      <c r="D812" s="967"/>
      <c r="E812" s="968"/>
      <c r="F812" s="969"/>
      <c r="G812" s="970"/>
      <c r="H812" s="971"/>
      <c r="I812" s="970"/>
      <c r="J812" s="974"/>
    </row>
    <row r="813" spans="3:10" ht="15.75">
      <c r="C813" s="963"/>
      <c r="D813" s="967"/>
      <c r="E813" s="968"/>
      <c r="F813" s="969"/>
      <c r="G813" s="970"/>
      <c r="H813" s="971"/>
      <c r="I813" s="970"/>
      <c r="J813" s="974"/>
    </row>
    <row r="814" spans="3:10" ht="15.75">
      <c r="C814" s="963"/>
      <c r="D814" s="967"/>
      <c r="E814" s="968"/>
      <c r="F814" s="969"/>
      <c r="G814" s="970"/>
      <c r="H814" s="971"/>
      <c r="I814" s="970"/>
      <c r="J814" s="974"/>
    </row>
    <row r="815" spans="3:10" ht="15.75">
      <c r="C815" s="963"/>
      <c r="D815" s="967"/>
      <c r="E815" s="968"/>
      <c r="F815" s="969"/>
      <c r="G815" s="970"/>
      <c r="H815" s="971"/>
      <c r="I815" s="970"/>
      <c r="J815" s="974"/>
    </row>
    <row r="816" spans="3:10" ht="15.75">
      <c r="C816" s="963"/>
      <c r="D816" s="967"/>
      <c r="E816" s="968"/>
      <c r="F816" s="969"/>
      <c r="G816" s="970"/>
      <c r="H816" s="971"/>
      <c r="I816" s="970"/>
      <c r="J816" s="974"/>
    </row>
    <row r="817" spans="3:10" ht="15.75">
      <c r="C817" s="963"/>
      <c r="D817" s="967"/>
      <c r="E817" s="968"/>
      <c r="F817" s="969"/>
      <c r="G817" s="970"/>
      <c r="H817" s="971"/>
      <c r="I817" s="970"/>
      <c r="J817" s="974"/>
    </row>
    <row r="818" spans="3:10" ht="15.75">
      <c r="C818" s="963"/>
      <c r="D818" s="967"/>
      <c r="E818" s="968"/>
      <c r="F818" s="969"/>
      <c r="G818" s="970"/>
      <c r="H818" s="971"/>
      <c r="I818" s="970"/>
      <c r="J818" s="974"/>
    </row>
    <row r="819" spans="3:10" ht="15.75">
      <c r="C819" s="963"/>
      <c r="D819" s="967"/>
      <c r="E819" s="968"/>
      <c r="F819" s="969"/>
      <c r="G819" s="970"/>
      <c r="H819" s="971"/>
      <c r="I819" s="970"/>
      <c r="J819" s="974"/>
    </row>
    <row r="820" spans="3:10" ht="15.75">
      <c r="C820" s="963"/>
      <c r="D820" s="967"/>
      <c r="E820" s="968"/>
      <c r="F820" s="969"/>
      <c r="G820" s="970"/>
      <c r="H820" s="971"/>
      <c r="I820" s="970"/>
      <c r="J820" s="974"/>
    </row>
    <row r="821" spans="3:10" ht="15.75">
      <c r="C821" s="963"/>
      <c r="D821" s="967"/>
      <c r="E821" s="968"/>
      <c r="F821" s="969"/>
      <c r="G821" s="970"/>
      <c r="H821" s="971"/>
      <c r="I821" s="970"/>
      <c r="J821" s="974"/>
    </row>
    <row r="822" spans="3:10" ht="15.75">
      <c r="C822" s="963"/>
      <c r="D822" s="967"/>
      <c r="E822" s="968"/>
      <c r="F822" s="969"/>
      <c r="G822" s="970"/>
      <c r="H822" s="971"/>
      <c r="I822" s="970"/>
      <c r="J822" s="974"/>
    </row>
    <row r="823" spans="3:10" ht="15.75">
      <c r="C823" s="963"/>
      <c r="D823" s="967"/>
      <c r="E823" s="968"/>
      <c r="F823" s="969"/>
      <c r="G823" s="970"/>
      <c r="H823" s="971"/>
      <c r="I823" s="970"/>
      <c r="J823" s="974"/>
    </row>
    <row r="824" spans="3:10" ht="15.75">
      <c r="C824" s="963"/>
      <c r="D824" s="967"/>
      <c r="E824" s="968"/>
      <c r="F824" s="969"/>
      <c r="G824" s="970"/>
      <c r="H824" s="971"/>
      <c r="I824" s="970"/>
      <c r="J824" s="974"/>
    </row>
    <row r="825" spans="3:10" ht="15.75">
      <c r="C825" s="963"/>
      <c r="D825" s="967"/>
      <c r="E825" s="968"/>
      <c r="F825" s="969"/>
      <c r="G825" s="970"/>
      <c r="H825" s="971"/>
      <c r="I825" s="970"/>
      <c r="J825" s="974"/>
    </row>
    <row r="826" spans="3:10" ht="15.75">
      <c r="C826" s="963"/>
      <c r="D826" s="967"/>
      <c r="E826" s="968"/>
      <c r="F826" s="969"/>
      <c r="G826" s="970"/>
      <c r="H826" s="971"/>
      <c r="I826" s="970"/>
      <c r="J826" s="974"/>
    </row>
    <row r="827" spans="3:10" ht="15.75">
      <c r="C827" s="963"/>
      <c r="D827" s="967"/>
      <c r="E827" s="968"/>
      <c r="F827" s="969"/>
      <c r="G827" s="970"/>
      <c r="H827" s="971"/>
      <c r="I827" s="970"/>
      <c r="J827" s="974"/>
    </row>
    <row r="828" spans="3:10" ht="15.75">
      <c r="C828" s="963"/>
      <c r="D828" s="967"/>
      <c r="E828" s="968"/>
      <c r="F828" s="969"/>
      <c r="G828" s="970"/>
      <c r="H828" s="971"/>
      <c r="I828" s="970"/>
      <c r="J828" s="974"/>
    </row>
    <row r="829" spans="3:10" ht="15.75">
      <c r="C829" s="963"/>
      <c r="D829" s="967"/>
      <c r="E829" s="968"/>
      <c r="F829" s="969"/>
      <c r="G829" s="970"/>
      <c r="H829" s="971"/>
      <c r="I829" s="970"/>
      <c r="J829" s="974"/>
    </row>
    <row r="830" spans="3:10" ht="15.75">
      <c r="C830" s="963"/>
      <c r="D830" s="967"/>
      <c r="E830" s="968"/>
      <c r="F830" s="969"/>
      <c r="G830" s="970"/>
      <c r="H830" s="971"/>
      <c r="I830" s="970"/>
      <c r="J830" s="974"/>
    </row>
    <row r="831" spans="3:10" ht="15.75">
      <c r="C831" s="963"/>
      <c r="D831" s="967"/>
      <c r="E831" s="968"/>
      <c r="F831" s="969"/>
      <c r="G831" s="970"/>
      <c r="H831" s="971"/>
      <c r="I831" s="970"/>
      <c r="J831" s="974"/>
    </row>
    <row r="832" spans="3:10" ht="15.75">
      <c r="C832" s="963"/>
      <c r="D832" s="967"/>
      <c r="E832" s="968"/>
      <c r="F832" s="969"/>
      <c r="G832" s="970"/>
      <c r="H832" s="971"/>
      <c r="I832" s="970"/>
      <c r="J832" s="974"/>
    </row>
    <row r="833" spans="3:10" ht="15.75">
      <c r="C833" s="963"/>
      <c r="D833" s="967"/>
      <c r="E833" s="968"/>
      <c r="F833" s="969"/>
      <c r="G833" s="970"/>
      <c r="H833" s="971"/>
      <c r="I833" s="970"/>
      <c r="J833" s="974"/>
    </row>
    <row r="834" spans="3:10" ht="15.75">
      <c r="C834" s="963"/>
      <c r="D834" s="967"/>
      <c r="E834" s="968"/>
      <c r="F834" s="969"/>
      <c r="G834" s="970"/>
      <c r="H834" s="971"/>
      <c r="I834" s="970"/>
      <c r="J834" s="974"/>
    </row>
    <row r="835" spans="3:10" ht="15.75">
      <c r="C835" s="963"/>
      <c r="D835" s="967"/>
      <c r="E835" s="968"/>
      <c r="F835" s="969"/>
      <c r="G835" s="970"/>
      <c r="H835" s="971"/>
      <c r="I835" s="970"/>
      <c r="J835" s="974"/>
    </row>
    <row r="836" spans="3:10" ht="15.75">
      <c r="C836" s="963"/>
      <c r="D836" s="967"/>
      <c r="E836" s="968"/>
      <c r="F836" s="969"/>
      <c r="G836" s="970"/>
      <c r="H836" s="971"/>
      <c r="I836" s="970"/>
      <c r="J836" s="974"/>
    </row>
    <row r="837" spans="3:10" ht="15.75">
      <c r="C837" s="963"/>
      <c r="D837" s="967"/>
      <c r="E837" s="968"/>
      <c r="F837" s="969"/>
      <c r="G837" s="970"/>
      <c r="H837" s="971"/>
      <c r="I837" s="970"/>
      <c r="J837" s="974"/>
    </row>
    <row r="838" spans="3:10" ht="15.75">
      <c r="C838" s="963"/>
      <c r="D838" s="967"/>
      <c r="E838" s="968"/>
      <c r="F838" s="969"/>
      <c r="G838" s="970"/>
      <c r="H838" s="971"/>
      <c r="I838" s="970"/>
      <c r="J838" s="974"/>
    </row>
    <row r="839" spans="3:10" ht="15.75">
      <c r="C839" s="963"/>
      <c r="D839" s="967"/>
      <c r="E839" s="968"/>
      <c r="F839" s="969"/>
      <c r="G839" s="970"/>
      <c r="H839" s="971"/>
      <c r="I839" s="970"/>
      <c r="J839" s="974"/>
    </row>
    <row r="840" spans="3:10" ht="15.75">
      <c r="C840" s="963"/>
      <c r="D840" s="967"/>
      <c r="E840" s="968"/>
      <c r="F840" s="969"/>
      <c r="G840" s="970"/>
      <c r="H840" s="971"/>
      <c r="I840" s="970"/>
      <c r="J840" s="974"/>
    </row>
    <row r="841" spans="3:10" ht="15.75">
      <c r="C841" s="963"/>
      <c r="D841" s="967"/>
      <c r="E841" s="968"/>
      <c r="F841" s="969"/>
      <c r="G841" s="970"/>
      <c r="H841" s="971"/>
      <c r="I841" s="970"/>
      <c r="J841" s="974"/>
    </row>
    <row r="842" spans="3:10" ht="15.75">
      <c r="C842" s="963"/>
      <c r="D842" s="967"/>
      <c r="E842" s="968"/>
      <c r="F842" s="969"/>
      <c r="G842" s="970"/>
      <c r="H842" s="971"/>
      <c r="I842" s="970"/>
      <c r="J842" s="974"/>
    </row>
    <row r="843" spans="3:10" ht="15.75">
      <c r="C843" s="963"/>
      <c r="D843" s="967"/>
      <c r="E843" s="968"/>
      <c r="F843" s="969"/>
      <c r="G843" s="970"/>
      <c r="H843" s="971"/>
      <c r="I843" s="970"/>
      <c r="J843" s="974"/>
    </row>
    <row r="844" spans="3:10" ht="15.75">
      <c r="C844" s="963"/>
      <c r="D844" s="967"/>
      <c r="E844" s="968"/>
      <c r="F844" s="969"/>
      <c r="G844" s="970"/>
      <c r="H844" s="971"/>
      <c r="I844" s="970"/>
      <c r="J844" s="974"/>
    </row>
    <row r="845" spans="3:10" ht="15.75">
      <c r="C845" s="963"/>
      <c r="D845" s="967"/>
      <c r="E845" s="968"/>
      <c r="F845" s="969"/>
      <c r="G845" s="970"/>
      <c r="H845" s="971"/>
      <c r="I845" s="970"/>
      <c r="J845" s="974"/>
    </row>
    <row r="846" spans="3:10" ht="15.75">
      <c r="C846" s="963"/>
      <c r="D846" s="967"/>
      <c r="E846" s="968"/>
      <c r="F846" s="969"/>
      <c r="G846" s="970"/>
      <c r="H846" s="971"/>
      <c r="I846" s="970"/>
      <c r="J846" s="974"/>
    </row>
    <row r="847" spans="3:10" ht="15.75">
      <c r="C847" s="963"/>
      <c r="D847" s="967"/>
      <c r="E847" s="968"/>
      <c r="F847" s="969"/>
      <c r="G847" s="970"/>
      <c r="H847" s="971"/>
      <c r="I847" s="970"/>
      <c r="J847" s="974"/>
    </row>
    <row r="848" spans="3:10" ht="15.75">
      <c r="C848" s="963"/>
      <c r="D848" s="967"/>
      <c r="E848" s="968"/>
      <c r="F848" s="969"/>
      <c r="G848" s="970"/>
      <c r="H848" s="971"/>
      <c r="I848" s="970"/>
      <c r="J848" s="974"/>
    </row>
    <row r="849" spans="3:10" ht="15.75">
      <c r="C849" s="963"/>
      <c r="D849" s="967"/>
      <c r="E849" s="968"/>
      <c r="F849" s="969"/>
      <c r="G849" s="970"/>
      <c r="H849" s="971"/>
      <c r="I849" s="970"/>
      <c r="J849" s="974"/>
    </row>
    <row r="850" spans="3:10" ht="15.75">
      <c r="C850" s="963"/>
      <c r="D850" s="967"/>
      <c r="E850" s="968"/>
      <c r="F850" s="969"/>
      <c r="G850" s="970"/>
      <c r="H850" s="971"/>
      <c r="I850" s="970"/>
      <c r="J850" s="974"/>
    </row>
    <row r="851" spans="3:10" ht="15.75">
      <c r="C851" s="963"/>
      <c r="D851" s="967"/>
      <c r="E851" s="968"/>
      <c r="F851" s="969"/>
      <c r="G851" s="970"/>
      <c r="H851" s="971"/>
      <c r="I851" s="970"/>
      <c r="J851" s="974"/>
    </row>
    <row r="852" spans="3:10" ht="15.75">
      <c r="C852" s="963"/>
      <c r="D852" s="967"/>
      <c r="E852" s="968"/>
      <c r="F852" s="969"/>
      <c r="G852" s="970"/>
      <c r="H852" s="971"/>
      <c r="I852" s="970"/>
      <c r="J852" s="974"/>
    </row>
    <row r="853" spans="3:10" ht="15.75">
      <c r="C853" s="963"/>
      <c r="D853" s="967"/>
      <c r="E853" s="968"/>
      <c r="F853" s="969"/>
      <c r="G853" s="970"/>
      <c r="H853" s="971"/>
      <c r="I853" s="970"/>
      <c r="J853" s="974"/>
    </row>
    <row r="854" spans="3:10" ht="15.75">
      <c r="C854" s="963"/>
      <c r="D854" s="967"/>
      <c r="E854" s="968"/>
      <c r="F854" s="969"/>
      <c r="G854" s="970"/>
      <c r="H854" s="971"/>
      <c r="I854" s="970"/>
      <c r="J854" s="974"/>
    </row>
    <row r="855" spans="3:10" ht="15.75">
      <c r="C855" s="963"/>
      <c r="D855" s="967"/>
      <c r="E855" s="968"/>
      <c r="F855" s="969"/>
      <c r="G855" s="970"/>
      <c r="H855" s="971"/>
      <c r="I855" s="970"/>
      <c r="J855" s="974"/>
    </row>
    <row r="856" spans="3:10" ht="15.75">
      <c r="C856" s="963"/>
      <c r="D856" s="967"/>
      <c r="E856" s="968"/>
      <c r="F856" s="969"/>
      <c r="G856" s="970"/>
      <c r="H856" s="971"/>
      <c r="I856" s="970"/>
      <c r="J856" s="974"/>
    </row>
    <row r="857" spans="3:10" ht="15.75">
      <c r="C857" s="963"/>
      <c r="D857" s="967"/>
      <c r="E857" s="968"/>
      <c r="F857" s="969"/>
      <c r="G857" s="970"/>
      <c r="H857" s="971"/>
      <c r="I857" s="970"/>
      <c r="J857" s="974"/>
    </row>
    <row r="858" spans="3:10" ht="15.75">
      <c r="C858" s="963"/>
      <c r="D858" s="967"/>
      <c r="E858" s="968"/>
      <c r="F858" s="969"/>
      <c r="G858" s="970"/>
      <c r="H858" s="971"/>
      <c r="I858" s="970"/>
      <c r="J858" s="974"/>
    </row>
    <row r="859" spans="3:10" ht="15.75">
      <c r="C859" s="963"/>
      <c r="D859" s="967"/>
      <c r="E859" s="968"/>
      <c r="F859" s="969"/>
      <c r="G859" s="970"/>
      <c r="H859" s="971"/>
      <c r="I859" s="970"/>
      <c r="J859" s="974"/>
    </row>
    <row r="860" spans="3:10" ht="15.75">
      <c r="C860" s="963"/>
      <c r="D860" s="967"/>
      <c r="E860" s="968"/>
      <c r="F860" s="969"/>
      <c r="G860" s="970"/>
      <c r="H860" s="971"/>
      <c r="I860" s="970"/>
      <c r="J860" s="974"/>
    </row>
    <row r="861" spans="3:10" ht="15.75">
      <c r="C861" s="963"/>
      <c r="D861" s="967"/>
      <c r="E861" s="968"/>
      <c r="F861" s="969"/>
      <c r="G861" s="970"/>
      <c r="H861" s="971"/>
      <c r="I861" s="970"/>
      <c r="J861" s="974"/>
    </row>
    <row r="862" spans="3:10" ht="15.75">
      <c r="C862" s="963"/>
      <c r="D862" s="967"/>
      <c r="E862" s="968"/>
      <c r="F862" s="969"/>
      <c r="G862" s="970"/>
      <c r="H862" s="971"/>
      <c r="I862" s="970"/>
      <c r="J862" s="974"/>
    </row>
    <row r="863" spans="3:10" ht="15.75">
      <c r="C863" s="963"/>
      <c r="D863" s="967"/>
      <c r="E863" s="968"/>
      <c r="F863" s="969"/>
      <c r="G863" s="970"/>
      <c r="H863" s="971"/>
      <c r="I863" s="970"/>
      <c r="J863" s="974"/>
    </row>
    <row r="864" spans="3:10" ht="15.75">
      <c r="C864" s="963"/>
      <c r="D864" s="967"/>
      <c r="E864" s="968"/>
      <c r="F864" s="969"/>
      <c r="G864" s="970"/>
      <c r="H864" s="971"/>
      <c r="I864" s="970"/>
      <c r="J864" s="974"/>
    </row>
    <row r="865" spans="3:10" ht="15.75">
      <c r="C865" s="963"/>
      <c r="D865" s="967"/>
      <c r="E865" s="968"/>
      <c r="F865" s="969"/>
      <c r="G865" s="970"/>
      <c r="H865" s="971"/>
      <c r="I865" s="970"/>
      <c r="J865" s="974"/>
    </row>
    <row r="866" spans="3:10" ht="15.75">
      <c r="C866" s="963"/>
      <c r="D866" s="967"/>
      <c r="E866" s="968"/>
      <c r="F866" s="969"/>
      <c r="G866" s="970"/>
      <c r="H866" s="971"/>
      <c r="I866" s="970"/>
      <c r="J866" s="974"/>
    </row>
    <row r="867" spans="3:10" ht="15.75">
      <c r="C867" s="963"/>
      <c r="D867" s="967"/>
      <c r="E867" s="968"/>
      <c r="F867" s="969"/>
      <c r="G867" s="970"/>
      <c r="H867" s="971"/>
      <c r="I867" s="970"/>
      <c r="J867" s="974"/>
    </row>
    <row r="868" spans="3:10" ht="15.75">
      <c r="C868" s="963"/>
      <c r="D868" s="967"/>
      <c r="E868" s="968"/>
      <c r="F868" s="969"/>
      <c r="G868" s="970"/>
      <c r="H868" s="971"/>
      <c r="I868" s="970"/>
      <c r="J868" s="974"/>
    </row>
    <row r="869" spans="3:10" ht="15.75">
      <c r="C869" s="963"/>
      <c r="D869" s="967"/>
      <c r="E869" s="968"/>
      <c r="F869" s="969"/>
      <c r="G869" s="970"/>
      <c r="H869" s="971"/>
      <c r="I869" s="970"/>
      <c r="J869" s="974"/>
    </row>
    <row r="870" spans="3:10" ht="15.75">
      <c r="C870" s="963"/>
      <c r="D870" s="967"/>
      <c r="E870" s="968"/>
      <c r="F870" s="969"/>
      <c r="G870" s="970"/>
      <c r="H870" s="971"/>
      <c r="I870" s="970"/>
      <c r="J870" s="974"/>
    </row>
    <row r="871" spans="3:10" ht="15.75">
      <c r="C871" s="963"/>
      <c r="D871" s="967"/>
      <c r="E871" s="968"/>
      <c r="F871" s="969"/>
      <c r="G871" s="970"/>
      <c r="H871" s="971"/>
      <c r="I871" s="970"/>
      <c r="J871" s="974"/>
    </row>
    <row r="872" spans="3:10" ht="15.75">
      <c r="C872" s="963"/>
      <c r="D872" s="967"/>
      <c r="E872" s="968"/>
      <c r="F872" s="969"/>
      <c r="G872" s="970"/>
      <c r="H872" s="971"/>
      <c r="I872" s="970"/>
      <c r="J872" s="974"/>
    </row>
    <row r="873" spans="3:10" ht="15.75">
      <c r="C873" s="963"/>
      <c r="D873" s="967"/>
      <c r="E873" s="968"/>
      <c r="F873" s="969"/>
      <c r="G873" s="970"/>
      <c r="H873" s="971"/>
      <c r="I873" s="970"/>
      <c r="J873" s="974"/>
    </row>
    <row r="874" spans="3:10" ht="15.75">
      <c r="C874" s="963"/>
      <c r="D874" s="967"/>
      <c r="E874" s="968"/>
      <c r="F874" s="969"/>
      <c r="G874" s="970"/>
      <c r="H874" s="971"/>
      <c r="I874" s="970"/>
      <c r="J874" s="974"/>
    </row>
    <row r="875" spans="3:10" ht="15.75">
      <c r="C875" s="963"/>
      <c r="D875" s="967"/>
      <c r="E875" s="968"/>
      <c r="F875" s="969"/>
      <c r="G875" s="970"/>
      <c r="H875" s="971"/>
      <c r="I875" s="970"/>
      <c r="J875" s="974"/>
    </row>
    <row r="876" spans="3:10" ht="15.75">
      <c r="C876" s="963"/>
      <c r="D876" s="967"/>
      <c r="E876" s="968"/>
      <c r="F876" s="969"/>
      <c r="G876" s="970"/>
      <c r="H876" s="971"/>
      <c r="I876" s="970"/>
      <c r="J876" s="974"/>
    </row>
    <row r="877" spans="3:10" ht="15.75">
      <c r="C877" s="963"/>
      <c r="D877" s="967"/>
      <c r="E877" s="968"/>
      <c r="F877" s="969"/>
      <c r="G877" s="970"/>
      <c r="H877" s="971"/>
      <c r="I877" s="970"/>
      <c r="J877" s="974"/>
    </row>
    <row r="878" spans="3:10" ht="15.75">
      <c r="C878" s="963"/>
      <c r="D878" s="967"/>
      <c r="E878" s="968"/>
      <c r="F878" s="969"/>
      <c r="G878" s="970"/>
      <c r="H878" s="971"/>
      <c r="I878" s="970"/>
      <c r="J878" s="974"/>
    </row>
    <row r="879" spans="3:10" ht="15.75">
      <c r="C879" s="963"/>
      <c r="D879" s="967"/>
      <c r="E879" s="968"/>
      <c r="F879" s="969"/>
      <c r="G879" s="970"/>
      <c r="H879" s="971"/>
      <c r="I879" s="970"/>
      <c r="J879" s="974"/>
    </row>
    <row r="880" spans="3:10" ht="15.75">
      <c r="C880" s="963"/>
      <c r="D880" s="967"/>
      <c r="E880" s="968"/>
      <c r="F880" s="969"/>
      <c r="G880" s="970"/>
      <c r="H880" s="971"/>
      <c r="I880" s="970"/>
      <c r="J880" s="974"/>
    </row>
    <row r="881" spans="3:10" ht="15.75">
      <c r="C881" s="963"/>
      <c r="D881" s="967"/>
      <c r="E881" s="968"/>
      <c r="F881" s="969"/>
      <c r="G881" s="970"/>
      <c r="H881" s="971"/>
      <c r="I881" s="970"/>
      <c r="J881" s="974"/>
    </row>
    <row r="882" spans="3:10" ht="15.75">
      <c r="C882" s="963"/>
      <c r="D882" s="967"/>
      <c r="E882" s="968"/>
      <c r="F882" s="969"/>
      <c r="G882" s="970"/>
      <c r="H882" s="971"/>
      <c r="I882" s="970"/>
      <c r="J882" s="974"/>
    </row>
    <row r="883" spans="3:10" ht="15.75">
      <c r="C883" s="963"/>
      <c r="D883" s="967"/>
      <c r="E883" s="968"/>
      <c r="F883" s="969"/>
      <c r="G883" s="970"/>
      <c r="H883" s="971"/>
      <c r="I883" s="970"/>
      <c r="J883" s="974"/>
    </row>
    <row r="884" spans="3:10" ht="15.75">
      <c r="C884" s="963"/>
      <c r="D884" s="967"/>
      <c r="E884" s="968"/>
      <c r="F884" s="969"/>
      <c r="G884" s="970"/>
      <c r="H884" s="971"/>
      <c r="I884" s="970"/>
      <c r="J884" s="974"/>
    </row>
    <row r="885" spans="3:10" ht="15.75">
      <c r="C885" s="963"/>
      <c r="D885" s="967"/>
      <c r="E885" s="968"/>
      <c r="F885" s="969"/>
      <c r="G885" s="970"/>
      <c r="H885" s="971"/>
      <c r="I885" s="970"/>
      <c r="J885" s="974"/>
    </row>
    <row r="886" spans="3:10" ht="15.75">
      <c r="C886" s="963"/>
      <c r="D886" s="967"/>
      <c r="E886" s="968"/>
      <c r="F886" s="969"/>
      <c r="G886" s="970"/>
      <c r="H886" s="971"/>
      <c r="I886" s="970"/>
      <c r="J886" s="974"/>
    </row>
    <row r="887" spans="3:10" ht="15.75">
      <c r="C887" s="963"/>
      <c r="D887" s="967"/>
      <c r="E887" s="968"/>
      <c r="F887" s="969"/>
      <c r="G887" s="970"/>
      <c r="H887" s="971"/>
      <c r="I887" s="970"/>
      <c r="J887" s="974"/>
    </row>
    <row r="888" spans="3:10" ht="15.75">
      <c r="C888" s="963"/>
      <c r="D888" s="967"/>
      <c r="E888" s="968"/>
      <c r="F888" s="969"/>
      <c r="G888" s="970"/>
      <c r="H888" s="971"/>
      <c r="I888" s="970"/>
      <c r="J888" s="974"/>
    </row>
    <row r="889" spans="3:10" ht="15.75">
      <c r="C889" s="963"/>
      <c r="D889" s="967"/>
      <c r="E889" s="968"/>
      <c r="F889" s="969"/>
      <c r="G889" s="970"/>
      <c r="H889" s="971"/>
      <c r="I889" s="970"/>
      <c r="J889" s="974"/>
    </row>
    <row r="890" spans="3:10" ht="15.75">
      <c r="C890" s="963"/>
      <c r="D890" s="967"/>
      <c r="E890" s="968"/>
      <c r="F890" s="969"/>
      <c r="G890" s="970"/>
      <c r="H890" s="971"/>
      <c r="I890" s="970"/>
      <c r="J890" s="974"/>
    </row>
    <row r="891" spans="3:10" ht="15.75">
      <c r="C891" s="963"/>
      <c r="D891" s="967"/>
      <c r="E891" s="968"/>
      <c r="F891" s="969"/>
      <c r="G891" s="970"/>
      <c r="H891" s="971"/>
      <c r="I891" s="970"/>
      <c r="J891" s="974"/>
    </row>
    <row r="892" spans="3:10" ht="15.75">
      <c r="C892" s="963"/>
      <c r="D892" s="967"/>
      <c r="E892" s="968"/>
      <c r="F892" s="969"/>
      <c r="G892" s="970"/>
      <c r="H892" s="971"/>
      <c r="I892" s="970"/>
      <c r="J892" s="974"/>
    </row>
    <row r="893" spans="3:10" ht="15.75">
      <c r="C893" s="963"/>
      <c r="D893" s="967"/>
      <c r="E893" s="968"/>
      <c r="F893" s="969"/>
      <c r="G893" s="970"/>
      <c r="H893" s="971"/>
      <c r="I893" s="970"/>
      <c r="J893" s="974"/>
    </row>
    <row r="894" spans="3:10" ht="15.75">
      <c r="C894" s="963"/>
      <c r="D894" s="967"/>
      <c r="E894" s="968"/>
      <c r="F894" s="969"/>
      <c r="G894" s="970"/>
      <c r="H894" s="971"/>
      <c r="I894" s="970"/>
      <c r="J894" s="974"/>
    </row>
    <row r="895" spans="3:10" ht="15.75">
      <c r="C895" s="963"/>
      <c r="D895" s="967"/>
      <c r="E895" s="968"/>
      <c r="F895" s="969"/>
      <c r="G895" s="970"/>
      <c r="H895" s="971"/>
      <c r="I895" s="970"/>
      <c r="J895" s="974"/>
    </row>
    <row r="896" spans="3:10" ht="15.75">
      <c r="C896" s="963"/>
      <c r="D896" s="967"/>
      <c r="E896" s="968"/>
      <c r="F896" s="969"/>
      <c r="G896" s="970"/>
      <c r="H896" s="971"/>
      <c r="I896" s="970"/>
      <c r="J896" s="974"/>
    </row>
    <row r="897" spans="3:10" ht="15.75">
      <c r="C897" s="963"/>
      <c r="D897" s="967"/>
      <c r="E897" s="968"/>
      <c r="F897" s="969"/>
      <c r="G897" s="970"/>
      <c r="H897" s="971"/>
      <c r="I897" s="970"/>
      <c r="J897" s="974"/>
    </row>
    <row r="898" spans="3:10" ht="15.75">
      <c r="C898" s="963"/>
      <c r="D898" s="967"/>
      <c r="E898" s="968"/>
      <c r="F898" s="969"/>
      <c r="G898" s="970"/>
      <c r="H898" s="971"/>
      <c r="I898" s="970"/>
      <c r="J898" s="974"/>
    </row>
    <row r="899" spans="3:10" ht="15.75">
      <c r="C899" s="963"/>
      <c r="D899" s="967"/>
      <c r="E899" s="968"/>
      <c r="F899" s="969"/>
      <c r="G899" s="970"/>
      <c r="H899" s="971"/>
      <c r="I899" s="970"/>
      <c r="J899" s="974"/>
    </row>
    <row r="900" spans="3:10" ht="15.75">
      <c r="C900" s="963"/>
      <c r="D900" s="967"/>
      <c r="E900" s="968"/>
      <c r="F900" s="969"/>
      <c r="G900" s="970"/>
      <c r="H900" s="971"/>
      <c r="I900" s="970"/>
      <c r="J900" s="974"/>
    </row>
    <row r="901" spans="3:10" ht="15.75">
      <c r="C901" s="963"/>
      <c r="D901" s="967"/>
      <c r="E901" s="968"/>
      <c r="F901" s="969"/>
      <c r="G901" s="970"/>
      <c r="H901" s="971"/>
      <c r="I901" s="970"/>
      <c r="J901" s="974"/>
    </row>
    <row r="902" spans="3:10" ht="15.75">
      <c r="C902" s="963"/>
      <c r="D902" s="967"/>
      <c r="E902" s="968"/>
      <c r="F902" s="969"/>
      <c r="G902" s="970"/>
      <c r="H902" s="971"/>
      <c r="I902" s="970"/>
      <c r="J902" s="974"/>
    </row>
    <row r="903" spans="3:10" ht="15.75">
      <c r="C903" s="963"/>
      <c r="D903" s="967"/>
      <c r="E903" s="968"/>
      <c r="F903" s="969"/>
      <c r="G903" s="970"/>
      <c r="H903" s="971"/>
      <c r="I903" s="970"/>
      <c r="J903" s="974"/>
    </row>
    <row r="904" spans="3:10" ht="15.75">
      <c r="C904" s="963"/>
      <c r="D904" s="967"/>
      <c r="E904" s="968"/>
      <c r="F904" s="969"/>
      <c r="G904" s="970"/>
      <c r="H904" s="971"/>
      <c r="I904" s="970"/>
      <c r="J904" s="974"/>
    </row>
    <row r="905" spans="3:10" ht="15.75">
      <c r="C905" s="963"/>
      <c r="D905" s="967"/>
      <c r="E905" s="968"/>
      <c r="F905" s="969"/>
      <c r="G905" s="970"/>
      <c r="H905" s="971"/>
      <c r="I905" s="970"/>
      <c r="J905" s="974"/>
    </row>
    <row r="906" spans="3:10" ht="15.75">
      <c r="C906" s="963"/>
      <c r="D906" s="967"/>
      <c r="E906" s="968"/>
      <c r="F906" s="969"/>
      <c r="G906" s="970"/>
      <c r="H906" s="971"/>
      <c r="I906" s="970"/>
      <c r="J906" s="974"/>
    </row>
    <row r="907" spans="3:10" ht="15.75">
      <c r="C907" s="963"/>
      <c r="D907" s="967"/>
      <c r="E907" s="968"/>
      <c r="F907" s="969"/>
      <c r="G907" s="970"/>
      <c r="H907" s="971"/>
      <c r="I907" s="970"/>
      <c r="J907" s="974"/>
    </row>
    <row r="908" spans="3:10" ht="15.75">
      <c r="C908" s="963"/>
      <c r="D908" s="967"/>
      <c r="E908" s="968"/>
      <c r="F908" s="969"/>
      <c r="G908" s="970"/>
      <c r="H908" s="971"/>
      <c r="I908" s="970"/>
      <c r="J908" s="974"/>
    </row>
    <row r="909" spans="3:10" ht="15.75">
      <c r="C909" s="963"/>
      <c r="D909" s="967"/>
      <c r="E909" s="968"/>
      <c r="F909" s="969"/>
      <c r="G909" s="970"/>
      <c r="H909" s="971"/>
      <c r="I909" s="970"/>
      <c r="J909" s="974"/>
    </row>
    <row r="910" spans="3:10" ht="15.75">
      <c r="C910" s="963"/>
      <c r="D910" s="967"/>
      <c r="E910" s="968"/>
      <c r="F910" s="969"/>
      <c r="G910" s="970"/>
      <c r="H910" s="971"/>
      <c r="I910" s="970"/>
      <c r="J910" s="974"/>
    </row>
    <row r="911" spans="3:10" ht="15.75">
      <c r="C911" s="963"/>
      <c r="D911" s="967"/>
      <c r="E911" s="968"/>
      <c r="F911" s="969"/>
      <c r="G911" s="970"/>
      <c r="H911" s="971"/>
      <c r="I911" s="970"/>
      <c r="J911" s="974"/>
    </row>
    <row r="912" spans="3:10" ht="15.75">
      <c r="C912" s="963"/>
      <c r="D912" s="967"/>
      <c r="E912" s="968"/>
      <c r="F912" s="969"/>
      <c r="G912" s="970"/>
      <c r="H912" s="971"/>
      <c r="I912" s="970"/>
      <c r="J912" s="974"/>
    </row>
    <row r="913" spans="3:10" ht="15.75">
      <c r="C913" s="963"/>
      <c r="D913" s="967"/>
      <c r="E913" s="968"/>
      <c r="F913" s="969"/>
      <c r="G913" s="970"/>
      <c r="H913" s="971"/>
      <c r="I913" s="970"/>
      <c r="J913" s="974"/>
    </row>
    <row r="914" spans="3:10" ht="15.75">
      <c r="C914" s="963"/>
      <c r="D914" s="967"/>
      <c r="E914" s="968"/>
      <c r="F914" s="969"/>
      <c r="G914" s="970"/>
      <c r="H914" s="971"/>
      <c r="I914" s="970"/>
      <c r="J914" s="974"/>
    </row>
    <row r="915" spans="3:10" ht="15.75">
      <c r="C915" s="963"/>
      <c r="D915" s="967"/>
      <c r="E915" s="968"/>
      <c r="F915" s="969"/>
      <c r="G915" s="970"/>
      <c r="H915" s="971"/>
      <c r="I915" s="970"/>
      <c r="J915" s="974"/>
    </row>
    <row r="916" spans="3:10" ht="15.75">
      <c r="C916" s="963"/>
      <c r="D916" s="967"/>
      <c r="E916" s="968"/>
      <c r="F916" s="969"/>
      <c r="G916" s="970"/>
      <c r="H916" s="971"/>
      <c r="I916" s="970"/>
      <c r="J916" s="974"/>
    </row>
    <row r="917" spans="3:10" ht="15.75">
      <c r="C917" s="963"/>
      <c r="D917" s="967"/>
      <c r="E917" s="968"/>
      <c r="F917" s="969"/>
      <c r="G917" s="970"/>
      <c r="H917" s="971"/>
      <c r="I917" s="970"/>
      <c r="J917" s="974"/>
    </row>
    <row r="918" spans="3:10" ht="15.75">
      <c r="C918" s="963"/>
      <c r="D918" s="967"/>
      <c r="E918" s="968"/>
      <c r="F918" s="969"/>
      <c r="G918" s="970"/>
      <c r="H918" s="971"/>
      <c r="I918" s="970"/>
      <c r="J918" s="974"/>
    </row>
    <row r="919" spans="3:10" ht="15.75">
      <c r="C919" s="963"/>
      <c r="D919" s="967"/>
      <c r="E919" s="968"/>
      <c r="F919" s="969"/>
      <c r="G919" s="970"/>
      <c r="H919" s="971"/>
      <c r="I919" s="970"/>
      <c r="J919" s="974"/>
    </row>
    <row r="920" spans="3:10" ht="15.75">
      <c r="C920" s="963"/>
      <c r="D920" s="967"/>
      <c r="E920" s="968"/>
      <c r="F920" s="969"/>
      <c r="G920" s="970"/>
      <c r="H920" s="971"/>
      <c r="I920" s="970"/>
      <c r="J920" s="974"/>
    </row>
    <row r="921" spans="3:10" ht="15.75">
      <c r="C921" s="963"/>
      <c r="D921" s="967"/>
      <c r="E921" s="968"/>
      <c r="F921" s="969"/>
      <c r="G921" s="970"/>
      <c r="H921" s="971"/>
      <c r="I921" s="970"/>
      <c r="J921" s="974"/>
    </row>
    <row r="922" spans="3:10" ht="15.75">
      <c r="C922" s="963"/>
      <c r="D922" s="967"/>
      <c r="E922" s="968"/>
      <c r="F922" s="969"/>
      <c r="G922" s="970"/>
      <c r="H922" s="971"/>
      <c r="I922" s="970"/>
      <c r="J922" s="974"/>
    </row>
    <row r="923" spans="3:10" ht="15.75">
      <c r="C923" s="963"/>
      <c r="D923" s="967"/>
      <c r="E923" s="968"/>
      <c r="F923" s="969"/>
      <c r="G923" s="970"/>
      <c r="H923" s="971"/>
      <c r="I923" s="970"/>
      <c r="J923" s="974"/>
    </row>
    <row r="924" spans="3:10" ht="15.75">
      <c r="C924" s="963"/>
      <c r="D924" s="967"/>
      <c r="E924" s="968"/>
      <c r="F924" s="969"/>
      <c r="G924" s="970"/>
      <c r="H924" s="971"/>
      <c r="I924" s="970"/>
      <c r="J924" s="974"/>
    </row>
    <row r="925" spans="3:10" ht="15.75">
      <c r="C925" s="963"/>
      <c r="D925" s="967"/>
      <c r="E925" s="968"/>
      <c r="F925" s="969"/>
      <c r="G925" s="970"/>
      <c r="H925" s="971"/>
      <c r="I925" s="970"/>
      <c r="J925" s="974"/>
    </row>
    <row r="926" spans="3:10" ht="15.75">
      <c r="C926" s="963"/>
      <c r="D926" s="967"/>
      <c r="E926" s="968"/>
      <c r="F926" s="969"/>
      <c r="G926" s="970"/>
      <c r="H926" s="971"/>
      <c r="I926" s="970"/>
      <c r="J926" s="974"/>
    </row>
    <row r="927" spans="3:10" ht="15.75">
      <c r="C927" s="963"/>
      <c r="D927" s="967"/>
      <c r="E927" s="968"/>
      <c r="F927" s="969"/>
      <c r="G927" s="970"/>
      <c r="H927" s="971"/>
      <c r="I927" s="970"/>
      <c r="J927" s="974"/>
    </row>
    <row r="928" spans="3:10" ht="15.75">
      <c r="C928" s="963"/>
      <c r="D928" s="967"/>
      <c r="E928" s="968"/>
      <c r="F928" s="969"/>
      <c r="G928" s="970"/>
      <c r="H928" s="971"/>
      <c r="I928" s="970"/>
      <c r="J928" s="974"/>
    </row>
    <row r="929" spans="3:10" ht="15.75">
      <c r="C929" s="963"/>
      <c r="D929" s="967"/>
      <c r="E929" s="968"/>
      <c r="F929" s="969"/>
      <c r="G929" s="970"/>
      <c r="H929" s="971"/>
      <c r="I929" s="970"/>
      <c r="J929" s="974"/>
    </row>
    <row r="930" spans="3:10" ht="15.75">
      <c r="C930" s="963"/>
      <c r="D930" s="967"/>
      <c r="E930" s="968"/>
      <c r="F930" s="969"/>
      <c r="G930" s="970"/>
      <c r="H930" s="971"/>
      <c r="I930" s="970"/>
      <c r="J930" s="974"/>
    </row>
    <row r="931" spans="3:10" ht="15.75">
      <c r="C931" s="963"/>
      <c r="D931" s="967"/>
      <c r="E931" s="968"/>
      <c r="F931" s="969"/>
      <c r="G931" s="970"/>
      <c r="H931" s="971"/>
      <c r="I931" s="970"/>
      <c r="J931" s="974"/>
    </row>
    <row r="932" spans="3:10" ht="15.75">
      <c r="C932" s="963"/>
      <c r="D932" s="967"/>
      <c r="E932" s="968"/>
      <c r="F932" s="969"/>
      <c r="G932" s="970"/>
      <c r="H932" s="971"/>
      <c r="I932" s="970"/>
      <c r="J932" s="974"/>
    </row>
    <row r="933" spans="3:10" ht="15.75">
      <c r="C933" s="963"/>
      <c r="D933" s="967"/>
      <c r="E933" s="968"/>
      <c r="F933" s="969"/>
      <c r="G933" s="970"/>
      <c r="H933" s="971"/>
      <c r="I933" s="970"/>
      <c r="J933" s="974"/>
    </row>
    <row r="934" spans="3:10" ht="15.75">
      <c r="C934" s="963"/>
      <c r="D934" s="967"/>
      <c r="E934" s="968"/>
      <c r="F934" s="969"/>
      <c r="G934" s="970"/>
      <c r="H934" s="971"/>
      <c r="I934" s="970"/>
      <c r="J934" s="974"/>
    </row>
    <row r="935" spans="3:10" ht="15.75">
      <c r="C935" s="963"/>
      <c r="D935" s="967"/>
      <c r="E935" s="968"/>
      <c r="F935" s="969"/>
      <c r="G935" s="970"/>
      <c r="H935" s="971"/>
      <c r="I935" s="970"/>
      <c r="J935" s="974"/>
    </row>
    <row r="936" spans="3:10" ht="15.75">
      <c r="C936" s="963"/>
      <c r="D936" s="967"/>
      <c r="E936" s="968"/>
      <c r="F936" s="969"/>
      <c r="G936" s="970"/>
      <c r="H936" s="971"/>
      <c r="I936" s="970"/>
      <c r="J936" s="974"/>
    </row>
    <row r="937" spans="3:10" ht="15.75">
      <c r="C937" s="963"/>
      <c r="D937" s="967"/>
      <c r="E937" s="968"/>
      <c r="F937" s="969"/>
      <c r="G937" s="970"/>
      <c r="H937" s="971"/>
      <c r="I937" s="970"/>
      <c r="J937" s="974"/>
    </row>
    <row r="938" spans="3:10" ht="15.75">
      <c r="C938" s="963"/>
      <c r="D938" s="967"/>
      <c r="E938" s="968"/>
      <c r="F938" s="969"/>
      <c r="G938" s="970"/>
      <c r="H938" s="971"/>
      <c r="I938" s="970"/>
      <c r="J938" s="974"/>
    </row>
    <row r="939" spans="3:10" ht="15.75">
      <c r="C939" s="963"/>
      <c r="D939" s="967"/>
      <c r="E939" s="968"/>
      <c r="F939" s="969"/>
      <c r="G939" s="970"/>
      <c r="H939" s="971"/>
      <c r="I939" s="970"/>
      <c r="J939" s="974"/>
    </row>
    <row r="940" spans="3:10" ht="15.75">
      <c r="C940" s="963"/>
      <c r="D940" s="967"/>
      <c r="E940" s="968"/>
      <c r="F940" s="969"/>
      <c r="G940" s="970"/>
      <c r="H940" s="971"/>
      <c r="I940" s="970"/>
      <c r="J940" s="974"/>
    </row>
    <row r="941" spans="3:10" ht="15.75">
      <c r="C941" s="963"/>
      <c r="D941" s="967"/>
      <c r="E941" s="968"/>
      <c r="F941" s="969"/>
      <c r="G941" s="970"/>
      <c r="H941" s="971"/>
      <c r="I941" s="970"/>
      <c r="J941" s="974"/>
    </row>
    <row r="942" spans="3:10" ht="15.75">
      <c r="C942" s="963"/>
      <c r="D942" s="967"/>
      <c r="E942" s="968"/>
      <c r="F942" s="969"/>
      <c r="G942" s="970"/>
      <c r="H942" s="971"/>
      <c r="I942" s="970"/>
      <c r="J942" s="974"/>
    </row>
    <row r="943" spans="3:10" ht="15.75">
      <c r="C943" s="963"/>
      <c r="D943" s="967"/>
      <c r="E943" s="968"/>
      <c r="F943" s="969"/>
      <c r="G943" s="970"/>
      <c r="H943" s="971"/>
      <c r="I943" s="970"/>
      <c r="J943" s="974"/>
    </row>
    <row r="944" spans="3:10" ht="15.75">
      <c r="C944" s="963"/>
      <c r="D944" s="967"/>
      <c r="E944" s="968"/>
      <c r="F944" s="969"/>
      <c r="G944" s="970"/>
      <c r="H944" s="971"/>
      <c r="I944" s="970"/>
      <c r="J944" s="974"/>
    </row>
    <row r="945" spans="3:10" ht="15.75">
      <c r="C945" s="963"/>
      <c r="D945" s="967"/>
      <c r="E945" s="968"/>
      <c r="F945" s="969"/>
      <c r="G945" s="970"/>
      <c r="H945" s="971"/>
      <c r="I945" s="970"/>
      <c r="J945" s="974"/>
    </row>
    <row r="946" spans="3:10" ht="15.75">
      <c r="C946" s="963"/>
      <c r="D946" s="967"/>
      <c r="E946" s="968"/>
      <c r="F946" s="969"/>
      <c r="G946" s="970"/>
      <c r="H946" s="971"/>
      <c r="I946" s="970"/>
      <c r="J946" s="974"/>
    </row>
    <row r="947" spans="3:10" ht="15.75">
      <c r="C947" s="963"/>
      <c r="D947" s="967"/>
      <c r="E947" s="968"/>
      <c r="F947" s="969"/>
      <c r="G947" s="970"/>
      <c r="H947" s="971"/>
      <c r="I947" s="970"/>
      <c r="J947" s="974"/>
    </row>
    <row r="948" spans="3:10" ht="15.75">
      <c r="C948" s="963"/>
      <c r="D948" s="967"/>
      <c r="E948" s="968"/>
      <c r="F948" s="969"/>
      <c r="G948" s="970"/>
      <c r="H948" s="971"/>
      <c r="I948" s="970"/>
      <c r="J948" s="974"/>
    </row>
    <row r="949" spans="3:10" ht="15.75">
      <c r="C949" s="963"/>
      <c r="D949" s="967"/>
      <c r="E949" s="968"/>
      <c r="F949" s="969"/>
      <c r="G949" s="970"/>
      <c r="H949" s="971"/>
      <c r="I949" s="970"/>
      <c r="J949" s="974"/>
    </row>
    <row r="950" spans="3:10" ht="15.75">
      <c r="C950" s="963"/>
      <c r="D950" s="967"/>
      <c r="E950" s="968"/>
      <c r="F950" s="969"/>
      <c r="G950" s="970"/>
      <c r="H950" s="971"/>
      <c r="I950" s="970"/>
      <c r="J950" s="974"/>
    </row>
    <row r="951" spans="3:10" ht="15.75">
      <c r="C951" s="963"/>
      <c r="D951" s="967"/>
      <c r="E951" s="968"/>
      <c r="F951" s="969"/>
      <c r="G951" s="970"/>
      <c r="H951" s="971"/>
      <c r="I951" s="970"/>
      <c r="J951" s="974"/>
    </row>
    <row r="952" spans="3:10" ht="15.75">
      <c r="C952" s="963"/>
      <c r="D952" s="967"/>
      <c r="E952" s="968"/>
      <c r="F952" s="969"/>
      <c r="G952" s="970"/>
      <c r="H952" s="971"/>
      <c r="I952" s="970"/>
      <c r="J952" s="974"/>
    </row>
    <row r="953" spans="3:10" ht="15.75">
      <c r="C953" s="963"/>
      <c r="D953" s="967"/>
      <c r="E953" s="968"/>
      <c r="F953" s="969"/>
      <c r="G953" s="970"/>
      <c r="H953" s="971"/>
      <c r="I953" s="970"/>
      <c r="J953" s="974"/>
    </row>
    <row r="954" spans="3:10" ht="15.75">
      <c r="C954" s="963"/>
      <c r="D954" s="967"/>
      <c r="E954" s="968"/>
      <c r="F954" s="969"/>
      <c r="G954" s="970"/>
      <c r="H954" s="971"/>
      <c r="I954" s="970"/>
      <c r="J954" s="974"/>
    </row>
    <row r="955" spans="3:10" ht="15.75">
      <c r="C955" s="963"/>
      <c r="D955" s="967"/>
      <c r="E955" s="968"/>
      <c r="F955" s="969"/>
      <c r="G955" s="970"/>
      <c r="H955" s="971"/>
      <c r="I955" s="970"/>
      <c r="J955" s="974"/>
    </row>
    <row r="956" spans="3:10" ht="15.75">
      <c r="C956" s="963"/>
      <c r="D956" s="967"/>
      <c r="E956" s="968"/>
      <c r="F956" s="969"/>
      <c r="G956" s="970"/>
      <c r="H956" s="971"/>
      <c r="I956" s="970"/>
      <c r="J956" s="974"/>
    </row>
    <row r="957" spans="3:10" ht="15.75">
      <c r="C957" s="963"/>
      <c r="D957" s="967"/>
      <c r="E957" s="968"/>
      <c r="F957" s="969"/>
      <c r="G957" s="970"/>
      <c r="H957" s="971"/>
      <c r="I957" s="970"/>
      <c r="J957" s="974"/>
    </row>
    <row r="958" spans="3:10" ht="15.75">
      <c r="C958" s="963"/>
      <c r="D958" s="967"/>
      <c r="E958" s="968"/>
      <c r="F958" s="969"/>
      <c r="G958" s="970"/>
      <c r="H958" s="971"/>
      <c r="I958" s="970"/>
      <c r="J958" s="974"/>
    </row>
    <row r="959" spans="3:10" ht="15.75">
      <c r="C959" s="963"/>
      <c r="D959" s="967"/>
      <c r="E959" s="968"/>
      <c r="F959" s="969"/>
      <c r="G959" s="970"/>
      <c r="H959" s="971"/>
      <c r="I959" s="970"/>
      <c r="J959" s="974"/>
    </row>
    <row r="960" spans="3:10" ht="15.75">
      <c r="C960" s="963"/>
      <c r="D960" s="967"/>
      <c r="E960" s="968"/>
      <c r="F960" s="969"/>
      <c r="G960" s="970"/>
      <c r="H960" s="971"/>
      <c r="I960" s="970"/>
      <c r="J960" s="974"/>
    </row>
    <row r="961" spans="3:10" ht="15.75">
      <c r="C961" s="963"/>
      <c r="D961" s="967"/>
      <c r="E961" s="968"/>
      <c r="F961" s="969"/>
      <c r="G961" s="970"/>
      <c r="H961" s="971"/>
      <c r="I961" s="970"/>
      <c r="J961" s="974"/>
    </row>
    <row r="962" spans="3:10" ht="15.75">
      <c r="C962" s="963"/>
      <c r="D962" s="967"/>
      <c r="E962" s="968"/>
      <c r="F962" s="969"/>
      <c r="G962" s="970"/>
      <c r="H962" s="971"/>
      <c r="I962" s="970"/>
      <c r="J962" s="974"/>
    </row>
    <row r="963" spans="3:10" ht="15.75">
      <c r="C963" s="963"/>
      <c r="D963" s="967"/>
      <c r="E963" s="968"/>
      <c r="F963" s="969"/>
      <c r="G963" s="970"/>
      <c r="H963" s="971"/>
      <c r="I963" s="970"/>
      <c r="J963" s="974"/>
    </row>
    <row r="964" spans="3:10" ht="15.75">
      <c r="C964" s="963"/>
      <c r="D964" s="967"/>
      <c r="E964" s="968"/>
      <c r="F964" s="969"/>
      <c r="G964" s="970"/>
      <c r="H964" s="971"/>
      <c r="I964" s="970"/>
      <c r="J964" s="974"/>
    </row>
    <row r="965" spans="3:10" ht="15.75">
      <c r="C965" s="963"/>
      <c r="D965" s="967"/>
      <c r="E965" s="968"/>
      <c r="F965" s="969"/>
      <c r="G965" s="970"/>
      <c r="H965" s="971"/>
      <c r="I965" s="970"/>
      <c r="J965" s="974"/>
    </row>
    <row r="966" spans="3:10" ht="15.75">
      <c r="C966" s="963"/>
      <c r="D966" s="967"/>
      <c r="E966" s="968"/>
      <c r="F966" s="969"/>
      <c r="G966" s="970"/>
      <c r="H966" s="971"/>
      <c r="I966" s="970"/>
      <c r="J966" s="974"/>
    </row>
    <row r="967" spans="3:10" ht="15.75">
      <c r="C967" s="963"/>
      <c r="D967" s="967"/>
      <c r="E967" s="968"/>
      <c r="F967" s="969"/>
      <c r="G967" s="970"/>
      <c r="H967" s="971"/>
      <c r="I967" s="970"/>
      <c r="J967" s="974"/>
    </row>
    <row r="968" spans="3:10" ht="15.75">
      <c r="C968" s="963"/>
      <c r="D968" s="967"/>
      <c r="E968" s="968"/>
      <c r="F968" s="969"/>
      <c r="G968" s="970"/>
      <c r="H968" s="971"/>
      <c r="I968" s="970"/>
      <c r="J968" s="974"/>
    </row>
    <row r="969" spans="3:10" ht="15.75">
      <c r="C969" s="963"/>
      <c r="D969" s="967"/>
      <c r="E969" s="968"/>
      <c r="F969" s="969"/>
      <c r="G969" s="970"/>
      <c r="H969" s="971"/>
      <c r="I969" s="970"/>
      <c r="J969" s="974"/>
    </row>
    <row r="970" spans="3:10" ht="15.75">
      <c r="C970" s="963"/>
      <c r="D970" s="967"/>
      <c r="E970" s="968"/>
      <c r="F970" s="969"/>
      <c r="G970" s="970"/>
      <c r="H970" s="971"/>
      <c r="I970" s="970"/>
      <c r="J970" s="974"/>
    </row>
    <row r="971" spans="3:10" ht="15.75">
      <c r="C971" s="963"/>
      <c r="D971" s="967"/>
      <c r="E971" s="968"/>
      <c r="F971" s="969"/>
      <c r="G971" s="970"/>
      <c r="H971" s="971"/>
      <c r="I971" s="970"/>
      <c r="J971" s="974"/>
    </row>
    <row r="972" spans="3:10" ht="15.75">
      <c r="C972" s="963"/>
      <c r="D972" s="967"/>
      <c r="E972" s="968"/>
      <c r="F972" s="969"/>
      <c r="G972" s="970"/>
      <c r="H972" s="971"/>
      <c r="I972" s="970"/>
      <c r="J972" s="974"/>
    </row>
    <row r="973" spans="3:10" ht="15.75">
      <c r="C973" s="963"/>
      <c r="D973" s="967"/>
      <c r="E973" s="968"/>
      <c r="F973" s="969"/>
      <c r="G973" s="970"/>
      <c r="H973" s="971"/>
      <c r="I973" s="970"/>
      <c r="J973" s="974"/>
    </row>
    <row r="974" spans="3:10" ht="15.75">
      <c r="C974" s="963"/>
      <c r="D974" s="967"/>
      <c r="E974" s="968"/>
      <c r="F974" s="969"/>
      <c r="G974" s="970"/>
      <c r="H974" s="971"/>
      <c r="I974" s="970"/>
      <c r="J974" s="974"/>
    </row>
    <row r="975" spans="3:10" ht="15.75">
      <c r="C975" s="963"/>
      <c r="D975" s="967"/>
      <c r="E975" s="968"/>
      <c r="F975" s="969"/>
      <c r="G975" s="970"/>
      <c r="H975" s="971"/>
      <c r="I975" s="970"/>
      <c r="J975" s="974"/>
    </row>
    <row r="976" spans="3:10" ht="15.75">
      <c r="C976" s="963"/>
      <c r="D976" s="967"/>
      <c r="E976" s="968"/>
      <c r="F976" s="969"/>
      <c r="G976" s="970"/>
      <c r="H976" s="971"/>
      <c r="I976" s="970"/>
      <c r="J976" s="974"/>
    </row>
    <row r="977" spans="3:10" ht="15.75">
      <c r="C977" s="963"/>
      <c r="D977" s="967"/>
      <c r="E977" s="968"/>
      <c r="F977" s="969"/>
      <c r="G977" s="970"/>
      <c r="H977" s="971"/>
      <c r="I977" s="970"/>
      <c r="J977" s="974"/>
    </row>
    <row r="978" spans="3:10" ht="15.75">
      <c r="C978" s="963"/>
      <c r="D978" s="967"/>
      <c r="E978" s="968"/>
      <c r="F978" s="969"/>
      <c r="G978" s="970"/>
      <c r="H978" s="971"/>
      <c r="I978" s="970"/>
      <c r="J978" s="974"/>
    </row>
    <row r="979" spans="3:10" ht="15.75">
      <c r="C979" s="963"/>
      <c r="D979" s="967"/>
      <c r="E979" s="968"/>
      <c r="F979" s="969"/>
      <c r="G979" s="970"/>
      <c r="H979" s="971"/>
      <c r="I979" s="970"/>
      <c r="J979" s="974"/>
    </row>
    <row r="980" spans="3:10" ht="15.75">
      <c r="C980" s="963"/>
      <c r="D980" s="967"/>
      <c r="E980" s="968"/>
      <c r="F980" s="969"/>
      <c r="G980" s="970"/>
      <c r="H980" s="971"/>
      <c r="I980" s="970"/>
      <c r="J980" s="974"/>
    </row>
    <row r="981" spans="3:10" ht="15.75">
      <c r="C981" s="963"/>
      <c r="D981" s="967"/>
      <c r="E981" s="968"/>
      <c r="F981" s="969"/>
      <c r="G981" s="970"/>
      <c r="H981" s="971"/>
      <c r="I981" s="970"/>
      <c r="J981" s="974"/>
    </row>
    <row r="982" spans="3:10" ht="15.75">
      <c r="C982" s="963"/>
      <c r="D982" s="967"/>
      <c r="E982" s="968"/>
      <c r="F982" s="969"/>
      <c r="G982" s="970"/>
      <c r="H982" s="971"/>
      <c r="I982" s="970"/>
      <c r="J982" s="974"/>
    </row>
    <row r="983" spans="3:10" ht="15.75">
      <c r="C983" s="963"/>
      <c r="D983" s="967"/>
      <c r="E983" s="968"/>
      <c r="F983" s="969"/>
      <c r="G983" s="970"/>
      <c r="H983" s="971"/>
      <c r="I983" s="970"/>
      <c r="J983" s="974"/>
    </row>
    <row r="984" spans="3:10" ht="15.75">
      <c r="C984" s="963"/>
      <c r="D984" s="967"/>
      <c r="E984" s="968"/>
      <c r="F984" s="969"/>
      <c r="G984" s="970"/>
      <c r="H984" s="971"/>
      <c r="I984" s="970"/>
      <c r="J984" s="974"/>
    </row>
    <row r="985" spans="3:10" ht="15.75">
      <c r="C985" s="963"/>
      <c r="D985" s="967"/>
      <c r="E985" s="968"/>
      <c r="F985" s="969"/>
      <c r="G985" s="970"/>
      <c r="H985" s="971"/>
      <c r="I985" s="970"/>
      <c r="J985" s="974"/>
    </row>
    <row r="986" spans="3:10" ht="15.75">
      <c r="C986" s="963"/>
      <c r="D986" s="967"/>
      <c r="E986" s="968"/>
      <c r="F986" s="969"/>
      <c r="G986" s="970"/>
      <c r="H986" s="971"/>
      <c r="I986" s="970"/>
      <c r="J986" s="974"/>
    </row>
    <row r="987" spans="3:10" ht="15.75">
      <c r="C987" s="963"/>
      <c r="D987" s="967"/>
      <c r="E987" s="968"/>
      <c r="F987" s="969"/>
      <c r="G987" s="970"/>
      <c r="H987" s="971"/>
      <c r="I987" s="970"/>
      <c r="J987" s="974"/>
    </row>
    <row r="988" spans="3:10" ht="15.75">
      <c r="C988" s="963"/>
      <c r="D988" s="967"/>
      <c r="E988" s="968"/>
      <c r="F988" s="969"/>
      <c r="G988" s="970"/>
      <c r="H988" s="971"/>
      <c r="I988" s="970"/>
      <c r="J988" s="974"/>
    </row>
    <row r="989" spans="3:10" ht="15.75">
      <c r="C989" s="963"/>
      <c r="D989" s="967"/>
      <c r="E989" s="968"/>
      <c r="F989" s="969"/>
      <c r="G989" s="970"/>
      <c r="H989" s="971"/>
      <c r="I989" s="970"/>
      <c r="J989" s="974"/>
    </row>
    <row r="990" spans="3:10" ht="15.75">
      <c r="C990" s="963"/>
      <c r="D990" s="967"/>
      <c r="E990" s="968"/>
      <c r="F990" s="969"/>
      <c r="G990" s="970"/>
      <c r="H990" s="971"/>
      <c r="I990" s="970"/>
      <c r="J990" s="974"/>
    </row>
    <row r="991" spans="3:10" ht="15.75">
      <c r="C991" s="963"/>
      <c r="D991" s="967"/>
      <c r="E991" s="968"/>
      <c r="F991" s="969"/>
      <c r="G991" s="970"/>
      <c r="H991" s="971"/>
      <c r="I991" s="970"/>
      <c r="J991" s="974"/>
    </row>
    <row r="992" spans="3:10" ht="15.75">
      <c r="C992" s="963"/>
      <c r="D992" s="967"/>
      <c r="E992" s="968"/>
      <c r="F992" s="969"/>
      <c r="G992" s="970"/>
      <c r="H992" s="971"/>
      <c r="I992" s="970"/>
      <c r="J992" s="974"/>
    </row>
    <row r="993" spans="3:10" ht="15.75">
      <c r="C993" s="963"/>
      <c r="D993" s="967"/>
      <c r="E993" s="968"/>
      <c r="F993" s="969"/>
      <c r="G993" s="970"/>
      <c r="H993" s="971"/>
      <c r="I993" s="970"/>
      <c r="J993" s="974"/>
    </row>
    <row r="994" spans="3:10" ht="15.75">
      <c r="C994" s="963"/>
      <c r="D994" s="967"/>
      <c r="E994" s="968"/>
      <c r="F994" s="969"/>
      <c r="G994" s="970"/>
      <c r="H994" s="971"/>
      <c r="I994" s="970"/>
      <c r="J994" s="974"/>
    </row>
    <row r="995" spans="3:10" ht="15.75">
      <c r="C995" s="963"/>
      <c r="D995" s="967"/>
      <c r="E995" s="968"/>
      <c r="F995" s="969"/>
      <c r="G995" s="970"/>
      <c r="H995" s="971"/>
      <c r="I995" s="970"/>
      <c r="J995" s="974"/>
    </row>
    <row r="996" spans="3:10" ht="15.75">
      <c r="C996" s="963"/>
      <c r="D996" s="967"/>
      <c r="E996" s="968"/>
      <c r="F996" s="969"/>
      <c r="G996" s="970"/>
      <c r="H996" s="971"/>
      <c r="I996" s="970"/>
      <c r="J996" s="974"/>
    </row>
    <row r="997" spans="3:10" ht="15.75">
      <c r="C997" s="963"/>
      <c r="D997" s="967"/>
      <c r="E997" s="968"/>
      <c r="F997" s="969"/>
      <c r="G997" s="970"/>
      <c r="H997" s="971"/>
      <c r="I997" s="970"/>
      <c r="J997" s="974"/>
    </row>
    <row r="998" spans="3:10" ht="15.75">
      <c r="C998" s="963"/>
      <c r="D998" s="967"/>
      <c r="E998" s="968"/>
      <c r="F998" s="969"/>
      <c r="G998" s="970"/>
      <c r="H998" s="971"/>
      <c r="I998" s="970"/>
      <c r="J998" s="974"/>
    </row>
    <row r="999" spans="3:10" ht="15.75">
      <c r="C999" s="963"/>
      <c r="D999" s="967"/>
      <c r="E999" s="968"/>
      <c r="F999" s="969"/>
      <c r="G999" s="970"/>
      <c r="H999" s="971"/>
      <c r="I999" s="970"/>
      <c r="J999" s="974"/>
    </row>
    <row r="1000" spans="3:10" ht="15.75">
      <c r="C1000" s="963"/>
      <c r="D1000" s="967"/>
      <c r="E1000" s="968"/>
      <c r="F1000" s="969"/>
      <c r="G1000" s="970"/>
      <c r="H1000" s="971"/>
      <c r="I1000" s="970"/>
      <c r="J1000" s="974"/>
    </row>
    <row r="1001" spans="3:10" ht="15.75">
      <c r="C1001" s="963"/>
      <c r="D1001" s="967"/>
      <c r="E1001" s="968"/>
      <c r="F1001" s="969"/>
      <c r="G1001" s="970"/>
      <c r="H1001" s="971"/>
      <c r="I1001" s="970"/>
      <c r="J1001" s="974"/>
    </row>
    <row r="1002" spans="3:10" ht="15.75">
      <c r="C1002" s="963"/>
      <c r="D1002" s="967"/>
      <c r="E1002" s="968"/>
      <c r="F1002" s="969"/>
      <c r="G1002" s="970"/>
      <c r="H1002" s="971"/>
      <c r="I1002" s="970"/>
      <c r="J1002" s="974"/>
    </row>
    <row r="1003" spans="3:10" ht="15.75">
      <c r="C1003" s="963"/>
      <c r="D1003" s="967"/>
      <c r="E1003" s="968"/>
      <c r="F1003" s="969"/>
      <c r="G1003" s="970"/>
      <c r="H1003" s="971"/>
      <c r="I1003" s="970"/>
      <c r="J1003" s="974"/>
    </row>
    <row r="1004" spans="3:10" ht="15.75">
      <c r="C1004" s="963"/>
      <c r="D1004" s="967"/>
      <c r="E1004" s="968"/>
      <c r="F1004" s="969"/>
      <c r="G1004" s="970"/>
      <c r="H1004" s="971"/>
      <c r="I1004" s="970"/>
      <c r="J1004" s="974"/>
    </row>
    <row r="1005" spans="3:10" ht="15.75">
      <c r="C1005" s="963"/>
      <c r="D1005" s="967"/>
      <c r="E1005" s="968"/>
      <c r="F1005" s="969"/>
      <c r="G1005" s="970"/>
      <c r="H1005" s="971"/>
      <c r="I1005" s="970"/>
      <c r="J1005" s="974"/>
    </row>
    <row r="1006" spans="3:10" ht="15.75">
      <c r="C1006" s="963"/>
      <c r="D1006" s="967"/>
      <c r="E1006" s="968"/>
      <c r="F1006" s="969"/>
      <c r="G1006" s="970"/>
      <c r="H1006" s="971"/>
      <c r="I1006" s="970"/>
      <c r="J1006" s="974"/>
    </row>
    <row r="1007" spans="3:10" ht="15.75">
      <c r="C1007" s="963"/>
      <c r="D1007" s="967"/>
      <c r="E1007" s="968"/>
      <c r="F1007" s="969"/>
      <c r="G1007" s="970"/>
      <c r="H1007" s="971"/>
      <c r="I1007" s="970"/>
      <c r="J1007" s="974"/>
    </row>
    <row r="1008" spans="3:10" ht="15.75">
      <c r="C1008" s="963"/>
      <c r="D1008" s="967"/>
      <c r="E1008" s="968"/>
      <c r="F1008" s="969"/>
      <c r="G1008" s="970"/>
      <c r="H1008" s="971"/>
      <c r="I1008" s="970"/>
      <c r="J1008" s="974"/>
    </row>
    <row r="1009" spans="3:10" ht="15.75">
      <c r="C1009" s="963"/>
      <c r="D1009" s="967"/>
      <c r="E1009" s="968"/>
      <c r="F1009" s="969"/>
      <c r="G1009" s="970"/>
      <c r="H1009" s="971"/>
      <c r="I1009" s="970"/>
      <c r="J1009" s="974"/>
    </row>
    <row r="1010" spans="3:10" ht="15.75">
      <c r="C1010" s="963"/>
      <c r="D1010" s="967"/>
      <c r="E1010" s="968"/>
      <c r="F1010" s="969"/>
      <c r="G1010" s="970"/>
      <c r="H1010" s="971"/>
      <c r="I1010" s="970"/>
      <c r="J1010" s="974"/>
    </row>
    <row r="1011" spans="3:10" ht="15.75">
      <c r="C1011" s="963"/>
      <c r="D1011" s="967"/>
      <c r="E1011" s="968"/>
      <c r="F1011" s="969"/>
      <c r="G1011" s="970"/>
      <c r="H1011" s="971"/>
      <c r="I1011" s="970"/>
      <c r="J1011" s="974"/>
    </row>
    <row r="1012" spans="3:10" ht="15.75">
      <c r="C1012" s="963"/>
      <c r="D1012" s="967"/>
      <c r="E1012" s="968"/>
      <c r="F1012" s="969"/>
      <c r="G1012" s="970"/>
      <c r="H1012" s="971"/>
      <c r="I1012" s="970"/>
      <c r="J1012" s="974"/>
    </row>
    <row r="1013" spans="3:10" ht="15.75">
      <c r="C1013" s="963"/>
      <c r="D1013" s="967"/>
      <c r="E1013" s="968"/>
      <c r="F1013" s="969"/>
      <c r="G1013" s="970"/>
      <c r="H1013" s="971"/>
      <c r="I1013" s="970"/>
      <c r="J1013" s="974"/>
    </row>
    <row r="1014" spans="3:10" ht="15.75">
      <c r="C1014" s="963"/>
      <c r="D1014" s="967"/>
      <c r="E1014" s="968"/>
      <c r="F1014" s="969"/>
      <c r="G1014" s="970"/>
      <c r="H1014" s="971"/>
      <c r="I1014" s="970"/>
      <c r="J1014" s="974"/>
    </row>
    <row r="1015" spans="3:10" ht="15.75">
      <c r="C1015" s="963"/>
      <c r="D1015" s="967"/>
      <c r="E1015" s="968"/>
      <c r="F1015" s="969"/>
      <c r="G1015" s="970"/>
      <c r="H1015" s="971"/>
      <c r="I1015" s="970"/>
      <c r="J1015" s="974"/>
    </row>
    <row r="1016" spans="3:10" ht="15.75">
      <c r="C1016" s="963"/>
      <c r="D1016" s="967"/>
      <c r="E1016" s="968"/>
      <c r="F1016" s="969"/>
      <c r="G1016" s="970"/>
      <c r="H1016" s="971"/>
      <c r="I1016" s="970"/>
      <c r="J1016" s="974"/>
    </row>
    <row r="1017" spans="3:10" ht="15.75">
      <c r="C1017" s="963"/>
      <c r="D1017" s="967"/>
      <c r="E1017" s="968"/>
      <c r="F1017" s="969"/>
      <c r="G1017" s="970"/>
      <c r="H1017" s="971"/>
      <c r="I1017" s="970"/>
      <c r="J1017" s="974"/>
    </row>
    <row r="1018" spans="3:10" ht="15.75">
      <c r="C1018" s="963"/>
      <c r="D1018" s="967"/>
      <c r="E1018" s="968"/>
      <c r="F1018" s="969"/>
      <c r="G1018" s="970"/>
      <c r="H1018" s="971"/>
      <c r="I1018" s="970"/>
      <c r="J1018" s="974"/>
    </row>
    <row r="1019" spans="3:10" ht="15.75">
      <c r="C1019" s="963"/>
      <c r="D1019" s="967"/>
      <c r="E1019" s="968"/>
      <c r="F1019" s="969"/>
      <c r="G1019" s="970"/>
      <c r="H1019" s="971"/>
      <c r="I1019" s="970"/>
      <c r="J1019" s="974"/>
    </row>
    <row r="1020" spans="3:10" ht="15.75">
      <c r="C1020" s="963"/>
      <c r="D1020" s="967"/>
      <c r="E1020" s="968"/>
      <c r="F1020" s="969"/>
      <c r="G1020" s="970"/>
      <c r="H1020" s="971"/>
      <c r="I1020" s="970"/>
      <c r="J1020" s="974"/>
    </row>
    <row r="1021" spans="3:10" ht="15.75">
      <c r="C1021" s="963"/>
      <c r="D1021" s="967"/>
      <c r="E1021" s="968"/>
      <c r="F1021" s="969"/>
      <c r="G1021" s="970"/>
      <c r="H1021" s="971"/>
      <c r="I1021" s="970"/>
      <c r="J1021" s="974"/>
    </row>
    <row r="1022" spans="3:10" ht="15.75">
      <c r="C1022" s="963"/>
      <c r="D1022" s="967"/>
      <c r="E1022" s="968"/>
      <c r="F1022" s="969"/>
      <c r="G1022" s="970"/>
      <c r="H1022" s="971"/>
      <c r="I1022" s="970"/>
      <c r="J1022" s="974"/>
    </row>
    <row r="1023" spans="3:10" ht="15.75">
      <c r="C1023" s="963"/>
      <c r="D1023" s="967"/>
      <c r="E1023" s="968"/>
      <c r="F1023" s="969"/>
      <c r="G1023" s="970"/>
      <c r="H1023" s="971"/>
      <c r="I1023" s="970"/>
      <c r="J1023" s="974"/>
    </row>
    <row r="1024" spans="3:10" ht="15.75">
      <c r="C1024" s="963"/>
      <c r="D1024" s="967"/>
      <c r="E1024" s="968"/>
      <c r="F1024" s="969"/>
      <c r="G1024" s="970"/>
      <c r="H1024" s="971"/>
      <c r="I1024" s="970"/>
      <c r="J1024" s="974"/>
    </row>
    <row r="1025" spans="3:10" ht="15.75">
      <c r="C1025" s="963"/>
      <c r="D1025" s="967"/>
      <c r="E1025" s="968"/>
      <c r="F1025" s="969"/>
      <c r="G1025" s="970"/>
      <c r="H1025" s="971"/>
      <c r="I1025" s="970"/>
      <c r="J1025" s="974"/>
    </row>
    <row r="1026" spans="3:10" ht="15.75">
      <c r="C1026" s="963"/>
      <c r="D1026" s="967"/>
      <c r="E1026" s="968"/>
      <c r="F1026" s="969"/>
      <c r="G1026" s="970"/>
      <c r="H1026" s="971"/>
      <c r="I1026" s="970"/>
      <c r="J1026" s="974"/>
    </row>
    <row r="1027" spans="3:10" ht="15.75">
      <c r="C1027" s="963"/>
      <c r="D1027" s="967"/>
      <c r="E1027" s="968"/>
      <c r="F1027" s="969"/>
      <c r="G1027" s="970"/>
      <c r="H1027" s="971"/>
      <c r="I1027" s="970"/>
      <c r="J1027" s="974"/>
    </row>
    <row r="1028" spans="3:10" ht="15.75">
      <c r="C1028" s="963"/>
      <c r="D1028" s="967"/>
      <c r="E1028" s="968"/>
      <c r="F1028" s="969"/>
      <c r="G1028" s="970"/>
      <c r="H1028" s="971"/>
      <c r="I1028" s="970"/>
      <c r="J1028" s="974"/>
    </row>
    <row r="1029" spans="3:10" ht="15.75">
      <c r="C1029" s="963"/>
      <c r="D1029" s="967"/>
      <c r="E1029" s="968"/>
      <c r="F1029" s="969"/>
      <c r="G1029" s="970"/>
      <c r="H1029" s="971"/>
      <c r="I1029" s="970"/>
      <c r="J1029" s="974"/>
    </row>
    <row r="1030" spans="3:10" ht="15.75">
      <c r="C1030" s="963"/>
      <c r="D1030" s="967"/>
      <c r="E1030" s="968"/>
      <c r="F1030" s="969"/>
      <c r="G1030" s="970"/>
      <c r="H1030" s="971"/>
      <c r="I1030" s="970"/>
      <c r="J1030" s="974"/>
    </row>
    <row r="1031" spans="3:10" ht="15.75">
      <c r="C1031" s="963"/>
      <c r="D1031" s="967"/>
      <c r="E1031" s="968"/>
      <c r="F1031" s="969"/>
      <c r="G1031" s="970"/>
      <c r="H1031" s="971"/>
      <c r="I1031" s="970"/>
      <c r="J1031" s="974"/>
    </row>
    <row r="1032" spans="3:10" ht="15.75">
      <c r="C1032" s="963"/>
      <c r="D1032" s="967"/>
      <c r="E1032" s="968"/>
      <c r="F1032" s="969"/>
      <c r="G1032" s="970"/>
      <c r="H1032" s="971"/>
      <c r="I1032" s="970"/>
      <c r="J1032" s="974"/>
    </row>
    <row r="1033" spans="3:10" ht="15.75">
      <c r="C1033" s="963"/>
      <c r="D1033" s="967"/>
      <c r="E1033" s="968"/>
      <c r="F1033" s="969"/>
      <c r="G1033" s="970"/>
      <c r="H1033" s="971"/>
      <c r="I1033" s="970"/>
      <c r="J1033" s="974"/>
    </row>
    <row r="1034" spans="3:10" ht="15.75">
      <c r="C1034" s="963"/>
      <c r="D1034" s="967"/>
      <c r="E1034" s="968"/>
      <c r="F1034" s="969"/>
      <c r="G1034" s="970"/>
      <c r="H1034" s="971"/>
      <c r="I1034" s="970"/>
      <c r="J1034" s="974"/>
    </row>
    <row r="1035" spans="3:10" ht="15.75">
      <c r="C1035" s="963"/>
      <c r="D1035" s="967"/>
      <c r="E1035" s="968"/>
      <c r="F1035" s="969"/>
      <c r="G1035" s="970"/>
      <c r="H1035" s="971"/>
      <c r="I1035" s="970"/>
      <c r="J1035" s="974"/>
    </row>
    <row r="1036" spans="3:10" ht="15.75">
      <c r="C1036" s="963"/>
      <c r="D1036" s="967"/>
      <c r="E1036" s="968"/>
      <c r="F1036" s="969"/>
      <c r="G1036" s="970"/>
      <c r="H1036" s="971"/>
      <c r="I1036" s="970"/>
      <c r="J1036" s="974"/>
    </row>
    <row r="1037" spans="3:10" ht="15.75">
      <c r="C1037" s="963"/>
      <c r="D1037" s="967"/>
      <c r="E1037" s="968"/>
      <c r="F1037" s="969"/>
      <c r="G1037" s="970"/>
      <c r="H1037" s="971"/>
      <c r="I1037" s="970"/>
      <c r="J1037" s="974"/>
    </row>
    <row r="1038" spans="3:10" ht="15.75">
      <c r="C1038" s="963"/>
      <c r="D1038" s="967"/>
      <c r="E1038" s="968"/>
      <c r="F1038" s="969"/>
      <c r="G1038" s="970"/>
      <c r="H1038" s="971"/>
      <c r="I1038" s="970"/>
      <c r="J1038" s="974"/>
    </row>
    <row r="1039" spans="3:10" ht="15.75">
      <c r="C1039" s="963"/>
      <c r="D1039" s="967"/>
      <c r="E1039" s="968"/>
      <c r="F1039" s="969"/>
      <c r="G1039" s="970"/>
      <c r="H1039" s="971"/>
      <c r="I1039" s="970"/>
      <c r="J1039" s="974"/>
    </row>
    <row r="1040" spans="3:10" ht="15.75">
      <c r="C1040" s="963"/>
      <c r="D1040" s="967"/>
      <c r="E1040" s="968"/>
      <c r="F1040" s="969"/>
      <c r="G1040" s="970"/>
      <c r="H1040" s="971"/>
      <c r="I1040" s="970"/>
      <c r="J1040" s="974"/>
    </row>
    <row r="1041" spans="3:10" ht="15.75">
      <c r="C1041" s="963"/>
      <c r="D1041" s="967"/>
      <c r="E1041" s="968"/>
      <c r="F1041" s="969"/>
      <c r="G1041" s="970"/>
      <c r="H1041" s="971"/>
      <c r="I1041" s="970"/>
      <c r="J1041" s="974"/>
    </row>
    <row r="1042" spans="3:10" ht="15.75">
      <c r="C1042" s="963"/>
      <c r="D1042" s="967"/>
      <c r="E1042" s="968"/>
      <c r="F1042" s="969"/>
      <c r="G1042" s="970"/>
      <c r="H1042" s="971"/>
      <c r="I1042" s="970"/>
      <c r="J1042" s="974"/>
    </row>
    <row r="1043" spans="3:10" ht="15.75">
      <c r="C1043" s="963"/>
      <c r="D1043" s="967"/>
      <c r="E1043" s="968"/>
      <c r="F1043" s="969"/>
      <c r="G1043" s="970"/>
      <c r="H1043" s="971"/>
      <c r="I1043" s="970"/>
      <c r="J1043" s="974"/>
    </row>
    <row r="1044" spans="3:10" ht="15.75">
      <c r="C1044" s="963"/>
      <c r="D1044" s="967"/>
      <c r="E1044" s="968"/>
      <c r="F1044" s="969"/>
      <c r="G1044" s="970"/>
      <c r="H1044" s="971"/>
      <c r="I1044" s="970"/>
      <c r="J1044" s="974"/>
    </row>
    <row r="1045" spans="3:10" ht="15.75">
      <c r="C1045" s="963"/>
      <c r="D1045" s="967"/>
      <c r="E1045" s="968"/>
      <c r="F1045" s="969"/>
      <c r="G1045" s="970"/>
      <c r="H1045" s="971"/>
      <c r="I1045" s="970"/>
      <c r="J1045" s="974"/>
    </row>
    <row r="1046" spans="3:10" ht="15.75">
      <c r="C1046" s="963"/>
      <c r="D1046" s="967"/>
      <c r="E1046" s="968"/>
      <c r="F1046" s="969"/>
      <c r="G1046" s="970"/>
      <c r="H1046" s="971"/>
      <c r="I1046" s="970"/>
      <c r="J1046" s="974"/>
    </row>
    <row r="1047" spans="3:10" ht="15.75">
      <c r="C1047" s="963"/>
      <c r="D1047" s="967"/>
      <c r="E1047" s="968"/>
      <c r="F1047" s="969"/>
      <c r="G1047" s="970"/>
      <c r="H1047" s="971"/>
      <c r="I1047" s="970"/>
      <c r="J1047" s="974"/>
    </row>
    <row r="1048" spans="3:10" ht="15.75">
      <c r="C1048" s="963"/>
      <c r="D1048" s="967"/>
      <c r="E1048" s="968"/>
      <c r="F1048" s="969"/>
      <c r="G1048" s="970"/>
      <c r="H1048" s="971"/>
      <c r="I1048" s="970"/>
      <c r="J1048" s="974"/>
    </row>
    <row r="1049" spans="3:10" ht="15.75">
      <c r="C1049" s="963"/>
      <c r="D1049" s="967"/>
      <c r="E1049" s="968"/>
      <c r="F1049" s="969"/>
      <c r="G1049" s="970"/>
      <c r="H1049" s="971"/>
      <c r="I1049" s="970"/>
      <c r="J1049" s="974"/>
    </row>
    <row r="1050" spans="3:10" ht="15.75">
      <c r="C1050" s="963"/>
      <c r="D1050" s="967"/>
      <c r="E1050" s="968"/>
      <c r="F1050" s="969"/>
      <c r="G1050" s="970"/>
      <c r="H1050" s="971"/>
      <c r="I1050" s="970"/>
      <c r="J1050" s="974"/>
    </row>
    <row r="1051" spans="3:10" ht="15.75">
      <c r="C1051" s="963"/>
      <c r="D1051" s="967"/>
      <c r="E1051" s="968"/>
      <c r="F1051" s="969"/>
      <c r="G1051" s="970"/>
      <c r="H1051" s="971"/>
      <c r="I1051" s="970"/>
      <c r="J1051" s="974"/>
    </row>
    <row r="1052" spans="3:10" ht="15.75">
      <c r="C1052" s="963"/>
      <c r="D1052" s="967"/>
      <c r="E1052" s="968"/>
      <c r="F1052" s="969"/>
      <c r="G1052" s="970"/>
      <c r="H1052" s="971"/>
      <c r="I1052" s="970"/>
      <c r="J1052" s="974"/>
    </row>
    <row r="1053" spans="3:10" ht="15.75">
      <c r="C1053" s="963"/>
      <c r="D1053" s="967"/>
      <c r="E1053" s="968"/>
      <c r="F1053" s="969"/>
      <c r="G1053" s="970"/>
      <c r="H1053" s="971"/>
      <c r="I1053" s="970"/>
      <c r="J1053" s="974"/>
    </row>
    <row r="1054" spans="3:10" ht="15.75">
      <c r="C1054" s="963"/>
      <c r="D1054" s="967"/>
      <c r="E1054" s="968"/>
      <c r="F1054" s="969"/>
      <c r="G1054" s="970"/>
      <c r="H1054" s="975"/>
      <c r="I1054" s="975"/>
      <c r="J1054" s="974"/>
    </row>
    <row r="1055" spans="3:10" ht="15.75">
      <c r="C1055" s="963"/>
      <c r="D1055" s="976"/>
      <c r="E1055" s="968"/>
      <c r="F1055" s="969"/>
      <c r="G1055" s="970"/>
      <c r="H1055" s="957"/>
      <c r="I1055" s="957"/>
      <c r="J1055" s="958"/>
    </row>
    <row r="1056" spans="3:10" ht="16.5" thickBot="1">
      <c r="C1056" s="963"/>
      <c r="D1056" s="977"/>
      <c r="E1056" s="968"/>
      <c r="F1056" s="969"/>
      <c r="G1056" s="970"/>
      <c r="H1056" s="978"/>
      <c r="I1056" s="978"/>
      <c r="J1056" s="979"/>
    </row>
    <row r="1058" spans="6:6">
      <c r="F1058" s="981"/>
    </row>
  </sheetData>
  <mergeCells count="24">
    <mergeCell ref="C2:J2"/>
    <mergeCell ref="C4:D4"/>
    <mergeCell ref="C5:D5"/>
    <mergeCell ref="C6:D6"/>
    <mergeCell ref="C11:D11"/>
    <mergeCell ref="C10:D10"/>
    <mergeCell ref="C9:D9"/>
    <mergeCell ref="C3:G3"/>
    <mergeCell ref="C7:D7"/>
    <mergeCell ref="C8:D8"/>
    <mergeCell ref="E4:G4"/>
    <mergeCell ref="E5:G5"/>
    <mergeCell ref="E6:G6"/>
    <mergeCell ref="E7:G7"/>
    <mergeCell ref="E8:G8"/>
    <mergeCell ref="E9:G9"/>
    <mergeCell ref="E10:G10"/>
    <mergeCell ref="E11:G11"/>
    <mergeCell ref="C12:J12"/>
    <mergeCell ref="C13:C14"/>
    <mergeCell ref="D13:D14"/>
    <mergeCell ref="E13:E14"/>
    <mergeCell ref="F13:F14"/>
    <mergeCell ref="G13:G14"/>
  </mergeCells>
  <pageMargins left="0.7" right="0.7" top="0.75" bottom="0.75" header="0.3" footer="0.3"/>
  <pageSetup paperSize="5" scale="60" orientation="portrait" horizontalDpi="300" verticalDpi="300" r:id="rId1"/>
  <rowBreaks count="1" manualBreakCount="1">
    <brk id="975" min="2" max="9" man="1"/>
  </rowBreaks>
</worksheet>
</file>

<file path=xl/worksheets/sheet14.xml><?xml version="1.0" encoding="utf-8"?>
<worksheet xmlns="http://schemas.openxmlformats.org/spreadsheetml/2006/main" xmlns:r="http://schemas.openxmlformats.org/officeDocument/2006/relationships">
  <dimension ref="C1:Q46"/>
  <sheetViews>
    <sheetView topLeftCell="B1" zoomScaleSheetLayoutView="77" workbookViewId="0">
      <selection activeCell="I33" sqref="I33"/>
    </sheetView>
  </sheetViews>
  <sheetFormatPr defaultColWidth="8.7109375" defaultRowHeight="15.75"/>
  <cols>
    <col min="1" max="1" width="8.7109375" style="924"/>
    <col min="2" max="2" width="2.42578125" style="924" customWidth="1"/>
    <col min="3" max="3" width="6.28515625" style="1013" customWidth="1"/>
    <col min="4" max="4" width="33.5703125" style="1289" customWidth="1"/>
    <col min="5" max="5" width="21.42578125" style="924" customWidth="1"/>
    <col min="6" max="6" width="22.42578125" style="1013" customWidth="1"/>
    <col min="7" max="7" width="21.7109375" style="924" customWidth="1"/>
    <col min="8" max="8" width="22.5703125" style="924" customWidth="1"/>
    <col min="9" max="9" width="18.140625" style="924" customWidth="1"/>
    <col min="10" max="11" width="19.28515625" style="924" hidden="1" customWidth="1"/>
    <col min="12" max="12" width="19.28515625" style="924" bestFit="1" customWidth="1"/>
    <col min="13" max="13" width="18.5703125" style="924" customWidth="1"/>
    <col min="14" max="14" width="20.42578125" style="924" bestFit="1" customWidth="1"/>
    <col min="15" max="15" width="21.140625" style="1014" customWidth="1"/>
    <col min="16" max="16" width="18.7109375" style="924" bestFit="1" customWidth="1"/>
    <col min="17" max="17" width="15.28515625" style="924" bestFit="1" customWidth="1"/>
    <col min="18" max="18" width="10.28515625" style="924" bestFit="1" customWidth="1"/>
    <col min="19" max="16384" width="8.7109375" style="924"/>
  </cols>
  <sheetData>
    <row r="1" spans="3:15" ht="16.5" thickBot="1"/>
    <row r="2" spans="3:15">
      <c r="C2" s="1480" t="s">
        <v>3803</v>
      </c>
      <c r="D2" s="1481"/>
      <c r="E2" s="1481"/>
      <c r="F2" s="1481"/>
      <c r="G2" s="1481"/>
      <c r="H2" s="1481"/>
      <c r="I2" s="1481"/>
      <c r="J2" s="1481"/>
      <c r="K2" s="1481"/>
      <c r="L2" s="1481"/>
      <c r="M2" s="1481"/>
      <c r="N2" s="1481"/>
      <c r="O2" s="1482"/>
    </row>
    <row r="3" spans="3:15">
      <c r="C3" s="1474" t="s">
        <v>3804</v>
      </c>
      <c r="D3" s="1475"/>
      <c r="E3" s="1475"/>
      <c r="F3" s="1475"/>
      <c r="G3" s="1475"/>
      <c r="H3" s="1475"/>
      <c r="I3" s="1475"/>
      <c r="J3" s="1475"/>
      <c r="K3" s="1475"/>
      <c r="L3" s="1475"/>
      <c r="M3" s="1475"/>
      <c r="N3" s="1475"/>
      <c r="O3" s="1476"/>
    </row>
    <row r="4" spans="3:15" ht="39.75" customHeight="1">
      <c r="C4" s="1491" t="s">
        <v>3807</v>
      </c>
      <c r="D4" s="1492"/>
      <c r="E4" s="1492"/>
      <c r="F4" s="1492"/>
      <c r="G4" s="1492"/>
      <c r="H4" s="1492"/>
      <c r="I4" s="1492"/>
      <c r="J4" s="1492"/>
      <c r="K4" s="1492"/>
      <c r="L4" s="1492"/>
      <c r="M4" s="1492"/>
      <c r="N4" s="1492"/>
      <c r="O4" s="1493"/>
    </row>
    <row r="5" spans="3:15">
      <c r="C5" s="1485"/>
      <c r="D5" s="1486"/>
      <c r="E5" s="1486"/>
      <c r="F5" s="1486"/>
      <c r="G5" s="1486"/>
      <c r="H5" s="1486"/>
      <c r="I5" s="1486"/>
      <c r="J5" s="1486"/>
      <c r="K5" s="1486"/>
      <c r="L5" s="1486"/>
      <c r="M5" s="1486"/>
      <c r="N5" s="1486"/>
      <c r="O5" s="1487"/>
    </row>
    <row r="6" spans="3:15" s="953" customFormat="1" ht="90" customHeight="1">
      <c r="C6" s="1016" t="s">
        <v>2546</v>
      </c>
      <c r="D6" s="1290" t="s">
        <v>3383</v>
      </c>
      <c r="E6" s="952" t="s">
        <v>3382</v>
      </c>
      <c r="F6" s="952" t="s">
        <v>2547</v>
      </c>
      <c r="G6" s="952" t="s">
        <v>2867</v>
      </c>
      <c r="H6" s="952" t="s">
        <v>3205</v>
      </c>
      <c r="I6" s="952" t="s">
        <v>2965</v>
      </c>
      <c r="J6" s="952" t="s">
        <v>3206</v>
      </c>
      <c r="K6" s="952" t="s">
        <v>3204</v>
      </c>
      <c r="L6" s="952" t="s">
        <v>3789</v>
      </c>
      <c r="M6" s="952" t="s">
        <v>3790</v>
      </c>
      <c r="N6" s="1385" t="s">
        <v>3770</v>
      </c>
      <c r="O6" s="1017" t="s">
        <v>53</v>
      </c>
    </row>
    <row r="7" spans="3:15" ht="15.75" hidden="1" customHeight="1">
      <c r="C7" s="1015"/>
      <c r="D7" s="1291">
        <v>3299471162</v>
      </c>
      <c r="E7" s="942"/>
      <c r="F7" s="951">
        <v>484590811</v>
      </c>
      <c r="G7" s="942">
        <v>50000000</v>
      </c>
      <c r="H7" s="942"/>
      <c r="I7" s="942"/>
      <c r="J7" s="942"/>
      <c r="K7" s="942"/>
      <c r="L7" s="942"/>
      <c r="M7" s="942"/>
      <c r="N7" s="942"/>
      <c r="O7" s="1018"/>
    </row>
    <row r="8" spans="3:15" ht="15.75" hidden="1" customHeight="1">
      <c r="C8" s="1015"/>
      <c r="D8" s="1291">
        <v>177135719</v>
      </c>
      <c r="E8" s="942"/>
      <c r="F8" s="951"/>
      <c r="G8" s="942">
        <v>382932587</v>
      </c>
      <c r="H8" s="942"/>
      <c r="I8" s="942"/>
      <c r="J8" s="942"/>
      <c r="K8" s="942"/>
      <c r="L8" s="942"/>
      <c r="M8" s="942"/>
      <c r="N8" s="942"/>
      <c r="O8" s="1018"/>
    </row>
    <row r="9" spans="3:15" ht="15.75" hidden="1" customHeight="1">
      <c r="C9" s="1015"/>
      <c r="D9" s="1291">
        <v>877117096</v>
      </c>
      <c r="E9" s="942"/>
      <c r="F9" s="951"/>
      <c r="G9" s="942"/>
      <c r="H9" s="942"/>
      <c r="I9" s="942"/>
      <c r="J9" s="942"/>
      <c r="K9" s="942"/>
      <c r="L9" s="942"/>
      <c r="M9" s="942"/>
      <c r="N9" s="942"/>
      <c r="O9" s="1018"/>
    </row>
    <row r="10" spans="3:15" ht="15.75" hidden="1" customHeight="1">
      <c r="C10" s="1015"/>
      <c r="D10" s="1291">
        <v>603016690</v>
      </c>
      <c r="E10" s="942"/>
      <c r="F10" s="951"/>
      <c r="G10" s="942"/>
      <c r="H10" s="942"/>
      <c r="I10" s="942"/>
      <c r="J10" s="942"/>
      <c r="K10" s="942"/>
      <c r="L10" s="942"/>
      <c r="M10" s="942"/>
      <c r="N10" s="942"/>
      <c r="O10" s="1018"/>
    </row>
    <row r="11" spans="3:15" ht="15.75" hidden="1" customHeight="1">
      <c r="C11" s="1015"/>
      <c r="D11" s="1291">
        <v>299996798</v>
      </c>
      <c r="E11" s="942"/>
      <c r="F11" s="951"/>
      <c r="G11" s="942"/>
      <c r="H11" s="942"/>
      <c r="I11" s="942"/>
      <c r="J11" s="942"/>
      <c r="K11" s="942"/>
      <c r="L11" s="942"/>
      <c r="M11" s="942"/>
      <c r="N11" s="942"/>
      <c r="O11" s="1018"/>
    </row>
    <row r="12" spans="3:15" ht="15.75" hidden="1" customHeight="1">
      <c r="C12" s="1015"/>
      <c r="D12" s="1292">
        <f>SUM(D7:D11)</f>
        <v>5256737465</v>
      </c>
      <c r="E12" s="943"/>
      <c r="F12" s="954">
        <f>SUM(F7:F11)</f>
        <v>484590811</v>
      </c>
      <c r="G12" s="943">
        <f>SUM(G7:G11)</f>
        <v>432932587</v>
      </c>
      <c r="H12" s="943"/>
      <c r="I12" s="943"/>
      <c r="J12" s="943"/>
      <c r="K12" s="943"/>
      <c r="L12" s="943"/>
      <c r="M12" s="943"/>
      <c r="N12" s="942"/>
      <c r="O12" s="1018"/>
    </row>
    <row r="13" spans="3:15" ht="15.75" hidden="1" customHeight="1">
      <c r="C13" s="1015"/>
      <c r="D13" s="1291"/>
      <c r="E13" s="942"/>
      <c r="F13" s="951"/>
      <c r="G13" s="942"/>
      <c r="H13" s="942"/>
      <c r="I13" s="942"/>
      <c r="J13" s="942"/>
      <c r="K13" s="942"/>
      <c r="L13" s="942"/>
      <c r="M13" s="942"/>
      <c r="N13" s="942"/>
      <c r="O13" s="1018"/>
    </row>
    <row r="14" spans="3:15" ht="15.75" hidden="1" customHeight="1">
      <c r="C14" s="1015"/>
      <c r="D14" s="1291"/>
      <c r="E14" s="942"/>
      <c r="F14" s="951"/>
      <c r="G14" s="942"/>
      <c r="H14" s="942"/>
      <c r="I14" s="942"/>
      <c r="J14" s="942"/>
      <c r="K14" s="942"/>
      <c r="L14" s="942"/>
      <c r="M14" s="942"/>
      <c r="N14" s="942"/>
      <c r="O14" s="1018"/>
    </row>
    <row r="15" spans="3:15" ht="15.75" hidden="1" customHeight="1">
      <c r="C15" s="1015"/>
      <c r="D15" s="1291"/>
      <c r="E15" s="942"/>
      <c r="F15" s="951"/>
      <c r="G15" s="942"/>
      <c r="H15" s="942"/>
      <c r="I15" s="942"/>
      <c r="J15" s="942"/>
      <c r="K15" s="942"/>
      <c r="L15" s="942"/>
      <c r="M15" s="942"/>
      <c r="N15" s="942"/>
      <c r="O15" s="1018"/>
    </row>
    <row r="16" spans="3:15">
      <c r="C16" s="1488" t="s">
        <v>2966</v>
      </c>
      <c r="D16" s="1489"/>
      <c r="E16" s="1489"/>
      <c r="F16" s="1489"/>
      <c r="G16" s="1489"/>
      <c r="H16" s="1489"/>
      <c r="I16" s="1489"/>
      <c r="J16" s="1489"/>
      <c r="K16" s="1489"/>
      <c r="L16" s="1489"/>
      <c r="M16" s="1489"/>
      <c r="N16" s="1489"/>
      <c r="O16" s="1490"/>
    </row>
    <row r="17" spans="3:17" s="925" customFormat="1" ht="42.75">
      <c r="C17" s="1019">
        <v>1</v>
      </c>
      <c r="D17" s="1288" t="s">
        <v>3379</v>
      </c>
      <c r="E17" s="1272" t="s">
        <v>3384</v>
      </c>
      <c r="F17" s="1012" t="s">
        <v>3390</v>
      </c>
      <c r="G17" s="1007">
        <v>0</v>
      </c>
      <c r="H17" s="1004">
        <f>+I17</f>
        <v>130041738</v>
      </c>
      <c r="I17" s="1271">
        <v>130041738</v>
      </c>
      <c r="J17" s="1274">
        <v>0</v>
      </c>
      <c r="K17" s="1274">
        <v>0</v>
      </c>
      <c r="L17" s="1273"/>
      <c r="M17" s="1273">
        <v>130041738</v>
      </c>
      <c r="N17" s="1273">
        <f>+I17-M17</f>
        <v>0</v>
      </c>
      <c r="O17" s="1020"/>
    </row>
    <row r="18" spans="3:17" ht="72">
      <c r="C18" s="1021">
        <v>2</v>
      </c>
      <c r="D18" s="1288" t="s">
        <v>3380</v>
      </c>
      <c r="E18" s="1272" t="s">
        <v>3385</v>
      </c>
      <c r="F18" s="1012" t="s">
        <v>3390</v>
      </c>
      <c r="G18" s="1007">
        <v>74523018</v>
      </c>
      <c r="H18" s="1005">
        <v>128433741</v>
      </c>
      <c r="I18" s="1271">
        <f>+G18+H18</f>
        <v>202956759</v>
      </c>
      <c r="J18" s="1273">
        <v>0</v>
      </c>
      <c r="K18" s="1273">
        <v>0</v>
      </c>
      <c r="L18" s="1273"/>
      <c r="M18" s="1273">
        <v>191555798</v>
      </c>
      <c r="N18" s="1273">
        <f>+I18-M18</f>
        <v>11400961</v>
      </c>
      <c r="O18" s="1384" t="s">
        <v>3805</v>
      </c>
      <c r="P18" s="1014"/>
    </row>
    <row r="19" spans="3:17" ht="57.75">
      <c r="C19" s="1021">
        <v>3</v>
      </c>
      <c r="D19" s="1288" t="s">
        <v>3381</v>
      </c>
      <c r="E19" s="1272" t="s">
        <v>3386</v>
      </c>
      <c r="F19" s="1012" t="s">
        <v>3390</v>
      </c>
      <c r="G19" s="1007">
        <v>0</v>
      </c>
      <c r="H19" s="1005">
        <v>0</v>
      </c>
      <c r="I19" s="1271">
        <v>131825761</v>
      </c>
      <c r="J19" s="1273">
        <v>0</v>
      </c>
      <c r="K19" s="1273">
        <v>0</v>
      </c>
      <c r="L19" s="1273">
        <v>39286849</v>
      </c>
      <c r="M19" s="1273"/>
      <c r="N19" s="1273">
        <f>+I19-L19</f>
        <v>92538912</v>
      </c>
      <c r="O19" s="1020"/>
    </row>
    <row r="20" spans="3:17">
      <c r="C20" s="1494" t="s">
        <v>3387</v>
      </c>
      <c r="D20" s="1484"/>
      <c r="E20" s="1484"/>
      <c r="F20" s="1484"/>
      <c r="G20" s="1484"/>
      <c r="H20" s="1484"/>
      <c r="I20" s="1484"/>
      <c r="J20" s="1484"/>
      <c r="K20" s="1484"/>
      <c r="L20" s="1484"/>
      <c r="M20" s="1484"/>
      <c r="N20" s="1484"/>
      <c r="O20" s="1495"/>
    </row>
    <row r="21" spans="3:17" s="953" customFormat="1" ht="90" customHeight="1">
      <c r="C21" s="1016" t="s">
        <v>2546</v>
      </c>
      <c r="D21" s="1290" t="s">
        <v>3383</v>
      </c>
      <c r="E21" s="952" t="s">
        <v>3382</v>
      </c>
      <c r="F21" s="952" t="s">
        <v>2547</v>
      </c>
      <c r="G21" s="952" t="s">
        <v>2867</v>
      </c>
      <c r="H21" s="952" t="s">
        <v>3205</v>
      </c>
      <c r="I21" s="952" t="s">
        <v>2965</v>
      </c>
      <c r="J21" s="952" t="s">
        <v>3206</v>
      </c>
      <c r="K21" s="952" t="s">
        <v>3204</v>
      </c>
      <c r="L21" s="952" t="s">
        <v>3773</v>
      </c>
      <c r="M21" s="952"/>
      <c r="N21" s="1385" t="s">
        <v>3770</v>
      </c>
      <c r="O21" s="1017"/>
    </row>
    <row r="22" spans="3:17" ht="57">
      <c r="C22" s="1021">
        <v>1</v>
      </c>
      <c r="D22" s="1270" t="s">
        <v>3388</v>
      </c>
      <c r="E22" s="1272"/>
      <c r="F22" s="1012" t="s">
        <v>3390</v>
      </c>
      <c r="G22" s="1007">
        <f>+'Home-buyer'!L196</f>
        <v>1203065931.0800002</v>
      </c>
      <c r="H22" s="1005">
        <v>710582624.69000006</v>
      </c>
      <c r="I22" s="1278">
        <f>SUM(G22:H22)</f>
        <v>1913648555.7700002</v>
      </c>
      <c r="J22" s="1025">
        <v>0</v>
      </c>
      <c r="K22" s="1025">
        <v>0</v>
      </c>
      <c r="L22" s="1008">
        <f>'Home-buyer'!S196</f>
        <v>1591099050.803987</v>
      </c>
      <c r="M22" s="1008"/>
      <c r="N22" s="1025">
        <f>+'Home-buyer'!T196</f>
        <v>53217709.519918889</v>
      </c>
      <c r="O22" s="1020"/>
      <c r="P22" s="1279"/>
    </row>
    <row r="23" spans="3:17">
      <c r="C23" s="1012"/>
      <c r="D23" s="1489" t="s">
        <v>3774</v>
      </c>
      <c r="E23" s="1489"/>
      <c r="F23" s="1489"/>
      <c r="G23" s="1386">
        <f>SUM(G17:G22)</f>
        <v>1277588949.0800002</v>
      </c>
      <c r="H23" s="1386">
        <f>SUM(H17:H22)</f>
        <v>969058103.69000006</v>
      </c>
      <c r="I23" s="1386">
        <f>SUM(I17:I22)</f>
        <v>2378472813.7700005</v>
      </c>
      <c r="J23" s="1387">
        <f ca="1">SUM(J17:J25)</f>
        <v>0</v>
      </c>
      <c r="K23" s="1387"/>
      <c r="L23" s="1386">
        <f>SUM(L17:L22)</f>
        <v>1630385899.803987</v>
      </c>
      <c r="M23" s="1386"/>
      <c r="N23" s="1388">
        <f>SUM(N17:N19)+N22</f>
        <v>157157582.51991889</v>
      </c>
      <c r="O23" s="1392"/>
      <c r="P23" s="1260"/>
      <c r="Q23" s="1260"/>
    </row>
    <row r="24" spans="3:17" ht="15.75" customHeight="1">
      <c r="C24" s="1484" t="s">
        <v>3387</v>
      </c>
      <c r="D24" s="1484"/>
      <c r="E24" s="1484"/>
      <c r="F24" s="1484"/>
      <c r="G24" s="1484"/>
      <c r="H24" s="1484"/>
      <c r="I24" s="1484"/>
      <c r="J24" s="1484"/>
      <c r="K24" s="1484"/>
      <c r="L24" s="1484"/>
      <c r="M24" s="1484"/>
      <c r="N24" s="1484"/>
      <c r="O24" s="1484"/>
      <c r="P24" s="1391"/>
      <c r="Q24" s="1391"/>
    </row>
    <row r="25" spans="3:17" ht="28.5">
      <c r="C25" s="1393">
        <v>2</v>
      </c>
      <c r="D25" s="1293" t="s">
        <v>3391</v>
      </c>
      <c r="E25" s="1041"/>
      <c r="F25" s="1012" t="s">
        <v>3389</v>
      </c>
      <c r="G25" s="1027">
        <f>+'Home-buyer'!L207</f>
        <v>40480328.759999998</v>
      </c>
      <c r="H25" s="1027">
        <v>4300000</v>
      </c>
      <c r="I25" s="1004">
        <f>SUM(G25:H25)</f>
        <v>44780328.759999998</v>
      </c>
      <c r="J25" s="1026"/>
      <c r="K25" s="1026"/>
      <c r="L25" s="1277">
        <f>+'Home-buyer'!S207</f>
        <v>65637441.675750591</v>
      </c>
      <c r="M25" s="1277"/>
      <c r="N25" s="1258">
        <f>+'Home-buyer'!T207</f>
        <v>0</v>
      </c>
      <c r="O25" s="1392"/>
      <c r="P25" s="1260"/>
      <c r="Q25" s="1260"/>
    </row>
    <row r="26" spans="3:17" ht="16.5" thickBot="1">
      <c r="C26" s="1022"/>
      <c r="D26" s="1483" t="s">
        <v>3775</v>
      </c>
      <c r="E26" s="1483"/>
      <c r="F26" s="1483"/>
      <c r="G26" s="1023">
        <f>SUM(G23:G25)</f>
        <v>1318069277.8400002</v>
      </c>
      <c r="H26" s="1023">
        <f>SUM(H23:H25)</f>
        <v>973358103.69000006</v>
      </c>
      <c r="I26" s="1023">
        <f>SUM(I23:I25)</f>
        <v>2423253142.5300007</v>
      </c>
      <c r="J26" s="1389">
        <f ca="1">SUM(J19:J28)</f>
        <v>0</v>
      </c>
      <c r="K26" s="1389"/>
      <c r="L26" s="1023">
        <f>SUM(L23:L25)</f>
        <v>1696023341.4797375</v>
      </c>
      <c r="M26" s="1023"/>
      <c r="N26" s="1390">
        <f>SUM(N23:N25)</f>
        <v>157157582.51991889</v>
      </c>
      <c r="O26" s="1024"/>
    </row>
    <row r="27" spans="3:17" ht="16.5" thickBot="1">
      <c r="C27" s="1477" t="s">
        <v>3806</v>
      </c>
      <c r="D27" s="1478"/>
      <c r="E27" s="1478"/>
      <c r="F27" s="1478"/>
      <c r="G27" s="1478"/>
      <c r="H27" s="1478"/>
      <c r="I27" s="1478"/>
      <c r="J27" s="1478"/>
      <c r="K27" s="1478"/>
      <c r="L27" s="1478"/>
      <c r="M27" s="1478"/>
      <c r="N27" s="1478"/>
      <c r="O27" s="1479"/>
    </row>
    <row r="28" spans="3:17">
      <c r="L28" s="1334"/>
    </row>
    <row r="29" spans="3:17">
      <c r="J29" s="1044"/>
      <c r="L29" s="1332"/>
      <c r="M29" s="1332"/>
    </row>
    <row r="30" spans="3:17">
      <c r="K30" s="1044"/>
      <c r="L30" s="1333"/>
      <c r="M30" s="1333"/>
    </row>
    <row r="31" spans="3:17">
      <c r="N31" s="1333"/>
    </row>
    <row r="32" spans="3:17">
      <c r="G32" s="1260"/>
      <c r="H32" s="1280"/>
      <c r="I32" s="1260"/>
      <c r="J32" s="1260"/>
      <c r="K32" s="1260"/>
    </row>
    <row r="33" spans="7:14">
      <c r="G33" s="1260"/>
      <c r="H33" s="1281"/>
      <c r="I33" s="1261"/>
      <c r="J33" s="1262"/>
      <c r="K33" s="1263"/>
      <c r="N33" s="1333"/>
    </row>
    <row r="34" spans="7:14">
      <c r="G34" s="1260"/>
      <c r="H34" s="1280"/>
      <c r="I34" s="1261"/>
      <c r="J34" s="1261"/>
      <c r="K34" s="1263"/>
    </row>
    <row r="35" spans="7:14">
      <c r="G35" s="1260"/>
      <c r="I35" s="1764"/>
      <c r="J35" s="1260"/>
      <c r="K35" s="1260"/>
    </row>
    <row r="36" spans="7:14">
      <c r="G36" s="1282"/>
      <c r="H36" s="1260"/>
      <c r="I36" s="1262"/>
      <c r="J36" s="1260"/>
      <c r="K36" s="1260"/>
    </row>
    <row r="37" spans="7:14">
      <c r="G37" s="1283"/>
      <c r="H37" s="1260"/>
      <c r="I37" s="1261"/>
      <c r="J37" s="1260"/>
      <c r="K37" s="1260"/>
    </row>
    <row r="38" spans="7:14">
      <c r="G38" s="1282"/>
      <c r="H38" s="1260"/>
      <c r="I38" s="1260"/>
      <c r="J38" s="1260"/>
      <c r="K38" s="1260"/>
    </row>
    <row r="39" spans="7:14">
      <c r="G39" s="1260"/>
      <c r="H39" s="1260"/>
      <c r="I39" s="1260"/>
      <c r="J39" s="1260"/>
      <c r="K39" s="1260"/>
    </row>
    <row r="40" spans="7:14">
      <c r="G40" s="1260"/>
      <c r="H40" s="1260"/>
      <c r="I40" s="1260"/>
      <c r="J40" s="1284"/>
      <c r="K40" s="1285"/>
    </row>
    <row r="41" spans="7:14">
      <c r="G41" s="1260"/>
      <c r="H41" s="1260"/>
      <c r="I41" s="1260"/>
      <c r="J41" s="1284"/>
      <c r="K41" s="1264"/>
    </row>
    <row r="42" spans="7:14">
      <c r="G42" s="1260"/>
      <c r="H42" s="1260"/>
      <c r="I42" s="1260"/>
      <c r="J42" s="1284"/>
      <c r="K42" s="1264"/>
    </row>
    <row r="43" spans="7:14">
      <c r="G43" s="1260"/>
      <c r="H43" s="1260"/>
      <c r="I43" s="1260"/>
      <c r="J43" s="1284"/>
      <c r="K43" s="1264"/>
    </row>
    <row r="44" spans="7:14">
      <c r="G44" s="1260"/>
      <c r="H44" s="1260"/>
      <c r="I44" s="1260"/>
      <c r="J44" s="1286"/>
      <c r="K44" s="1264"/>
    </row>
    <row r="45" spans="7:14">
      <c r="G45" s="1260"/>
      <c r="H45" s="1260"/>
      <c r="I45" s="1260"/>
      <c r="J45" s="1260"/>
      <c r="K45" s="1264"/>
    </row>
    <row r="46" spans="7:14">
      <c r="G46" s="1260"/>
      <c r="H46" s="1260"/>
      <c r="I46" s="1260"/>
      <c r="J46" s="1260"/>
      <c r="K46" s="1260"/>
    </row>
  </sheetData>
  <mergeCells count="10">
    <mergeCell ref="C3:O3"/>
    <mergeCell ref="C27:O27"/>
    <mergeCell ref="C2:O2"/>
    <mergeCell ref="D26:F26"/>
    <mergeCell ref="C24:O24"/>
    <mergeCell ref="C5:O5"/>
    <mergeCell ref="C16:O16"/>
    <mergeCell ref="C4:O4"/>
    <mergeCell ref="C20:O20"/>
    <mergeCell ref="D23:F23"/>
  </mergeCells>
  <pageMargins left="0.46" right="0.17" top="0.53" bottom="0.37" header="0.31" footer="0.55000000000000004"/>
  <pageSetup paperSize="5" scale="60" orientation="landscape" verticalDpi="150" r:id="rId1"/>
</worksheet>
</file>

<file path=xl/worksheets/sheet15.xml><?xml version="1.0" encoding="utf-8"?>
<worksheet xmlns="http://schemas.openxmlformats.org/spreadsheetml/2006/main" xmlns:r="http://schemas.openxmlformats.org/officeDocument/2006/relationships">
  <dimension ref="B2:XFB218"/>
  <sheetViews>
    <sheetView zoomScaleSheetLayoutView="95" workbookViewId="0">
      <pane ySplit="5" topLeftCell="A84" activePane="bottomLeft" state="frozen"/>
      <selection pane="bottomLeft" activeCell="Y5" sqref="Y5:Y7"/>
    </sheetView>
  </sheetViews>
  <sheetFormatPr defaultRowHeight="15"/>
  <cols>
    <col min="1" max="1" width="9" style="1302" customWidth="1"/>
    <col min="2" max="2" width="7.140625" style="1299" customWidth="1"/>
    <col min="3" max="3" width="27.140625" style="1375" customWidth="1"/>
    <col min="4" max="4" width="15.7109375" style="1300" customWidth="1"/>
    <col min="5" max="11" width="15.7109375" style="1296" hidden="1" customWidth="1"/>
    <col min="12" max="12" width="15.7109375" style="1335" customWidth="1"/>
    <col min="13" max="15" width="15.7109375" style="1335" hidden="1" customWidth="1"/>
    <col min="16" max="17" width="15.7109375" style="1335" customWidth="1"/>
    <col min="18" max="18" width="17" style="1335" customWidth="1"/>
    <col min="19" max="19" width="17.85546875" style="1335" customWidth="1"/>
    <col min="20" max="20" width="15.7109375" style="1335" customWidth="1"/>
    <col min="21" max="21" width="92" style="1301" hidden="1" customWidth="1"/>
    <col min="22" max="22" width="33.140625" style="1302" hidden="1" customWidth="1"/>
    <col min="23" max="16384" width="9.140625" style="1302"/>
  </cols>
  <sheetData>
    <row r="2" spans="2:22">
      <c r="B2" s="1497" t="s">
        <v>3808</v>
      </c>
      <c r="C2" s="1498"/>
      <c r="D2" s="1498"/>
      <c r="E2" s="1498"/>
      <c r="F2" s="1498"/>
      <c r="G2" s="1498"/>
      <c r="H2" s="1498"/>
      <c r="I2" s="1498"/>
      <c r="J2" s="1498"/>
      <c r="K2" s="1498"/>
      <c r="L2" s="1498"/>
      <c r="M2" s="1498"/>
      <c r="N2" s="1498"/>
      <c r="O2" s="1498"/>
      <c r="P2" s="1498"/>
      <c r="Q2" s="1498"/>
      <c r="R2" s="1498"/>
      <c r="S2" s="1498"/>
      <c r="T2" s="1499"/>
    </row>
    <row r="3" spans="2:22" ht="22.5" customHeight="1">
      <c r="B3" s="1497" t="s">
        <v>3804</v>
      </c>
      <c r="C3" s="1498"/>
      <c r="D3" s="1498"/>
      <c r="E3" s="1498"/>
      <c r="F3" s="1498"/>
      <c r="G3" s="1498"/>
      <c r="H3" s="1498"/>
      <c r="I3" s="1498"/>
      <c r="J3" s="1498"/>
      <c r="K3" s="1498"/>
      <c r="L3" s="1498"/>
      <c r="M3" s="1498"/>
      <c r="N3" s="1498"/>
      <c r="O3" s="1498"/>
      <c r="P3" s="1498"/>
      <c r="Q3" s="1498"/>
      <c r="R3" s="1498"/>
      <c r="S3" s="1498"/>
      <c r="T3" s="1499"/>
    </row>
    <row r="4" spans="2:22" ht="34.5" customHeight="1" thickBot="1">
      <c r="B4" s="1500" t="s">
        <v>3809</v>
      </c>
      <c r="C4" s="1501"/>
      <c r="D4" s="1501"/>
      <c r="E4" s="1501"/>
      <c r="F4" s="1501"/>
      <c r="G4" s="1501"/>
      <c r="H4" s="1501"/>
      <c r="I4" s="1501"/>
      <c r="J4" s="1501"/>
      <c r="K4" s="1501"/>
      <c r="L4" s="1501"/>
      <c r="M4" s="1501"/>
      <c r="N4" s="1501"/>
      <c r="O4" s="1501"/>
      <c r="P4" s="1501"/>
      <c r="Q4" s="1501"/>
      <c r="R4" s="1501"/>
      <c r="S4" s="1501"/>
      <c r="T4" s="1502"/>
    </row>
    <row r="5" spans="2:22" s="1304" customFormat="1" ht="70.5" customHeight="1">
      <c r="B5" s="1394" t="s">
        <v>68</v>
      </c>
      <c r="C5" s="1395" t="s">
        <v>3392</v>
      </c>
      <c r="D5" s="1396" t="s">
        <v>3393</v>
      </c>
      <c r="E5" s="1397" t="s">
        <v>3484</v>
      </c>
      <c r="F5" s="1397" t="s">
        <v>3394</v>
      </c>
      <c r="G5" s="1397" t="s">
        <v>3395</v>
      </c>
      <c r="H5" s="1397" t="s">
        <v>3396</v>
      </c>
      <c r="I5" s="1397" t="s">
        <v>3397</v>
      </c>
      <c r="J5" s="1397" t="s">
        <v>3485</v>
      </c>
      <c r="K5" s="1397" t="s">
        <v>3486</v>
      </c>
      <c r="L5" s="1397" t="s">
        <v>3487</v>
      </c>
      <c r="M5" s="1397" t="s">
        <v>3488</v>
      </c>
      <c r="N5" s="1397" t="s">
        <v>3489</v>
      </c>
      <c r="O5" s="1397" t="s">
        <v>3490</v>
      </c>
      <c r="P5" s="1397" t="s">
        <v>3777</v>
      </c>
      <c r="Q5" s="1397" t="s">
        <v>3810</v>
      </c>
      <c r="R5" s="1397" t="s">
        <v>3811</v>
      </c>
      <c r="S5" s="1397" t="s">
        <v>3812</v>
      </c>
      <c r="T5" s="1398" t="s">
        <v>3778</v>
      </c>
      <c r="U5" s="1344" t="s">
        <v>53</v>
      </c>
      <c r="V5" s="1303" t="s">
        <v>3491</v>
      </c>
    </row>
    <row r="6" spans="2:22" s="1327" customFormat="1" ht="15.75" customHeight="1">
      <c r="B6" s="1323">
        <v>1</v>
      </c>
      <c r="C6" s="1376" t="s">
        <v>3398</v>
      </c>
      <c r="D6" s="621" t="s">
        <v>3492</v>
      </c>
      <c r="E6" s="1324">
        <v>4842591.9099815693</v>
      </c>
      <c r="F6" s="1325">
        <v>41114</v>
      </c>
      <c r="G6" s="1325">
        <f t="shared" ref="G6:G23" si="0">EDATE(F6,42)</f>
        <v>42393</v>
      </c>
      <c r="H6" s="1325">
        <v>43208</v>
      </c>
      <c r="I6" s="1325">
        <f t="shared" ref="I6:I69" si="1">H6-G6</f>
        <v>815</v>
      </c>
      <c r="J6" s="1325">
        <f>E6*8/100/365*I6</f>
        <v>865032.85624876246</v>
      </c>
      <c r="K6" s="1325">
        <f t="shared" ref="K6:K23" si="2">E6+J6</f>
        <v>5707624.7662303317</v>
      </c>
      <c r="L6" s="1339">
        <v>4992228</v>
      </c>
      <c r="M6" s="1336">
        <f t="shared" ref="M6:M69" si="3">+L6*8/100/365*I6</f>
        <v>891762.3715068493</v>
      </c>
      <c r="N6" s="1339">
        <v>4992228</v>
      </c>
      <c r="O6" s="1336">
        <f>VLOOKUP(C6,'[1]Interest as per us on payment b'!C5:D174,2,0)</f>
        <v>4992227</v>
      </c>
      <c r="P6" s="1339">
        <v>2277523.2920547947</v>
      </c>
      <c r="Q6" s="1339">
        <v>4992228</v>
      </c>
      <c r="R6" s="1336">
        <f>+Q6*100/103.09</f>
        <v>4842591.9099815693</v>
      </c>
      <c r="S6" s="1336">
        <f t="shared" ref="S6:S37" si="4">+R6+P6</f>
        <v>7120115.202036364</v>
      </c>
      <c r="T6" s="1350">
        <f t="shared" ref="T6:T20" si="5">+L6-Q6</f>
        <v>0</v>
      </c>
      <c r="U6" s="1345"/>
      <c r="V6" s="1326"/>
    </row>
    <row r="7" spans="2:22" s="1327" customFormat="1" ht="15" customHeight="1">
      <c r="B7" s="1323">
        <v>2</v>
      </c>
      <c r="C7" s="1376" t="s">
        <v>3249</v>
      </c>
      <c r="D7" s="621" t="s">
        <v>3493</v>
      </c>
      <c r="E7" s="1324">
        <v>5852547.2887767972</v>
      </c>
      <c r="F7" s="1325">
        <v>41151</v>
      </c>
      <c r="G7" s="1325">
        <f t="shared" si="0"/>
        <v>42429</v>
      </c>
      <c r="H7" s="1325">
        <v>43208</v>
      </c>
      <c r="I7" s="1325">
        <f t="shared" si="1"/>
        <v>779</v>
      </c>
      <c r="J7" s="1325">
        <f t="shared" ref="J7:J70" si="6">E7*8/100/365*I7</f>
        <v>999262.32064813701</v>
      </c>
      <c r="K7" s="1325">
        <f t="shared" si="2"/>
        <v>6851809.6094249338</v>
      </c>
      <c r="L7" s="1339">
        <v>6047061</v>
      </c>
      <c r="M7" s="1336">
        <f t="shared" si="3"/>
        <v>1032473.538410959</v>
      </c>
      <c r="N7" s="1339">
        <v>6033391</v>
      </c>
      <c r="O7" s="1336">
        <f>VLOOKUP(C7,'[1]Interest as per us on payment b'!C6:D192,2,0)</f>
        <v>6033390</v>
      </c>
      <c r="P7" s="1339">
        <v>2553596.332712329</v>
      </c>
      <c r="Q7" s="1339">
        <v>6033391</v>
      </c>
      <c r="R7" s="1336">
        <f t="shared" ref="R7:R70" si="7">+Q7*100/103.09</f>
        <v>5852547.2887767972</v>
      </c>
      <c r="S7" s="1336">
        <f t="shared" si="4"/>
        <v>8406143.6214891262</v>
      </c>
      <c r="T7" s="1350">
        <f t="shared" si="5"/>
        <v>13670</v>
      </c>
      <c r="U7" s="1345" t="s">
        <v>3494</v>
      </c>
      <c r="V7" s="1326"/>
    </row>
    <row r="8" spans="2:22" s="1327" customFormat="1" ht="17.25" customHeight="1">
      <c r="B8" s="1323">
        <v>3</v>
      </c>
      <c r="C8" s="1376" t="s">
        <v>3495</v>
      </c>
      <c r="D8" s="621" t="s">
        <v>3496</v>
      </c>
      <c r="E8" s="1324">
        <v>6130488.8932001162</v>
      </c>
      <c r="F8" s="1325">
        <v>41162</v>
      </c>
      <c r="G8" s="1325">
        <f t="shared" si="0"/>
        <v>42439</v>
      </c>
      <c r="H8" s="1325">
        <v>43208</v>
      </c>
      <c r="I8" s="1325">
        <f t="shared" si="1"/>
        <v>769</v>
      </c>
      <c r="J8" s="1325">
        <f t="shared" si="6"/>
        <v>1033281.3060538936</v>
      </c>
      <c r="K8" s="1325">
        <f t="shared" si="2"/>
        <v>7163770.1992540099</v>
      </c>
      <c r="L8" s="1339">
        <v>6332655</v>
      </c>
      <c r="M8" s="1336">
        <f t="shared" si="3"/>
        <v>1067355.9879452055</v>
      </c>
      <c r="N8" s="1339">
        <v>6319921</v>
      </c>
      <c r="O8" s="1336">
        <f>VLOOKUP(C8,'[1]Interest as per us on payment b'!C7:D193,2,0)</f>
        <v>6319921</v>
      </c>
      <c r="P8" s="1339">
        <v>2666771.5026849317</v>
      </c>
      <c r="Q8" s="1339">
        <v>6319921</v>
      </c>
      <c r="R8" s="1336">
        <f t="shared" si="7"/>
        <v>6130488.8932001162</v>
      </c>
      <c r="S8" s="1336">
        <f t="shared" si="4"/>
        <v>8797260.3958850484</v>
      </c>
      <c r="T8" s="1350">
        <f t="shared" si="5"/>
        <v>12734</v>
      </c>
      <c r="U8" s="1345" t="s">
        <v>3497</v>
      </c>
      <c r="V8" s="1326"/>
    </row>
    <row r="9" spans="2:22" s="1327" customFormat="1" ht="14.25" customHeight="1">
      <c r="B9" s="1323">
        <v>4</v>
      </c>
      <c r="C9" s="1376" t="s">
        <v>3248</v>
      </c>
      <c r="D9" s="621" t="s">
        <v>3498</v>
      </c>
      <c r="E9" s="1324">
        <v>5003374.7211174704</v>
      </c>
      <c r="F9" s="1325">
        <v>40640</v>
      </c>
      <c r="G9" s="1325">
        <f t="shared" si="0"/>
        <v>41919</v>
      </c>
      <c r="H9" s="1325">
        <v>43208</v>
      </c>
      <c r="I9" s="1325">
        <f t="shared" si="1"/>
        <v>1289</v>
      </c>
      <c r="J9" s="1325">
        <f t="shared" si="6"/>
        <v>1413556.1677852974</v>
      </c>
      <c r="K9" s="1325">
        <f t="shared" si="2"/>
        <v>6416930.8889027676</v>
      </c>
      <c r="L9" s="1339">
        <v>5165139</v>
      </c>
      <c r="M9" s="1336">
        <f t="shared" si="3"/>
        <v>1459257.9004931506</v>
      </c>
      <c r="N9" s="1339">
        <v>5157979</v>
      </c>
      <c r="O9" s="1336">
        <f>VLOOKUP(C9,'[1]Interest as per us on payment b'!C8:D194,2,0)</f>
        <v>5157978</v>
      </c>
      <c r="P9" s="1339">
        <v>2371974.177315068</v>
      </c>
      <c r="Q9" s="1339">
        <v>5157979</v>
      </c>
      <c r="R9" s="1336">
        <f t="shared" si="7"/>
        <v>5003374.7211174704</v>
      </c>
      <c r="S9" s="1336">
        <f t="shared" si="4"/>
        <v>7375348.8984325379</v>
      </c>
      <c r="T9" s="1350">
        <f t="shared" si="5"/>
        <v>7160</v>
      </c>
      <c r="U9" s="1345" t="s">
        <v>3499</v>
      </c>
      <c r="V9" s="1326"/>
    </row>
    <row r="10" spans="2:22" s="1327" customFormat="1" ht="16.5" customHeight="1">
      <c r="B10" s="1323">
        <v>5</v>
      </c>
      <c r="C10" s="1376" t="s">
        <v>3500</v>
      </c>
      <c r="D10" s="621" t="s">
        <v>3501</v>
      </c>
      <c r="E10" s="1324">
        <v>5513032.30187215</v>
      </c>
      <c r="F10" s="1325">
        <v>41151</v>
      </c>
      <c r="G10" s="1325">
        <f t="shared" si="0"/>
        <v>42429</v>
      </c>
      <c r="H10" s="1325">
        <v>43208</v>
      </c>
      <c r="I10" s="1325">
        <f t="shared" si="1"/>
        <v>779</v>
      </c>
      <c r="J10" s="1325">
        <f t="shared" si="6"/>
        <v>941293.62480184215</v>
      </c>
      <c r="K10" s="1325">
        <f t="shared" si="2"/>
        <v>6454325.9266739925</v>
      </c>
      <c r="L10" s="1340">
        <v>5766891.71</v>
      </c>
      <c r="M10" s="1336">
        <f t="shared" si="3"/>
        <v>984637.51059506845</v>
      </c>
      <c r="N10" s="1340">
        <v>5683385</v>
      </c>
      <c r="O10" s="1336">
        <f>VLOOKUP(C10,'[1]Interest as per us on payment b'!C9:D195,2,0)</f>
        <v>5683539</v>
      </c>
      <c r="P10" s="1340">
        <v>2431864.738410959</v>
      </c>
      <c r="Q10" s="1339">
        <v>5683539</v>
      </c>
      <c r="R10" s="1336">
        <f t="shared" si="7"/>
        <v>5513181.6859055189</v>
      </c>
      <c r="S10" s="1336">
        <f t="shared" si="4"/>
        <v>7945046.424316478</v>
      </c>
      <c r="T10" s="1350">
        <f t="shared" si="5"/>
        <v>83352.709999999963</v>
      </c>
      <c r="U10" s="1345" t="s">
        <v>3502</v>
      </c>
      <c r="V10" s="1326"/>
    </row>
    <row r="11" spans="2:22" s="1327" customFormat="1">
      <c r="B11" s="1323">
        <v>6</v>
      </c>
      <c r="C11" s="1376" t="s">
        <v>3247</v>
      </c>
      <c r="D11" s="621" t="s">
        <v>3503</v>
      </c>
      <c r="E11" s="1324">
        <v>6153221.4569793381</v>
      </c>
      <c r="F11" s="1325">
        <v>41019</v>
      </c>
      <c r="G11" s="1325">
        <f t="shared" si="0"/>
        <v>42297</v>
      </c>
      <c r="H11" s="1325">
        <v>43208</v>
      </c>
      <c r="I11" s="1325">
        <f t="shared" si="1"/>
        <v>911</v>
      </c>
      <c r="J11" s="1325">
        <f t="shared" si="6"/>
        <v>1228621.3144785045</v>
      </c>
      <c r="K11" s="1325">
        <f t="shared" si="2"/>
        <v>7381842.7714578426</v>
      </c>
      <c r="L11" s="1339">
        <v>6343356.3800000008</v>
      </c>
      <c r="M11" s="1336">
        <f t="shared" si="3"/>
        <v>1266585.7889709591</v>
      </c>
      <c r="N11" s="1339">
        <v>6343356</v>
      </c>
      <c r="O11" s="1336">
        <f>VLOOKUP(C11,'[1]Interest as per us on payment b'!C10:D196,2,0)</f>
        <v>6343355</v>
      </c>
      <c r="P11" s="1339">
        <v>2739105.0093150684</v>
      </c>
      <c r="Q11" s="1339">
        <v>6343356</v>
      </c>
      <c r="R11" s="1336">
        <f t="shared" si="7"/>
        <v>6153221.4569793381</v>
      </c>
      <c r="S11" s="1336">
        <f t="shared" si="4"/>
        <v>8892326.466294406</v>
      </c>
      <c r="T11" s="1350">
        <f t="shared" si="5"/>
        <v>0.38000000081956387</v>
      </c>
      <c r="U11" s="1345"/>
      <c r="V11" s="1326"/>
    </row>
    <row r="12" spans="2:22" s="1327" customFormat="1" ht="18" customHeight="1">
      <c r="B12" s="1323">
        <v>7</v>
      </c>
      <c r="C12" s="1376" t="s">
        <v>3246</v>
      </c>
      <c r="D12" s="467" t="s">
        <v>3504</v>
      </c>
      <c r="E12" s="1324">
        <v>7451198.9523717137</v>
      </c>
      <c r="F12" s="1325">
        <v>41207</v>
      </c>
      <c r="G12" s="1325">
        <f t="shared" si="0"/>
        <v>42485</v>
      </c>
      <c r="H12" s="1325">
        <v>43208</v>
      </c>
      <c r="I12" s="1325">
        <f t="shared" si="1"/>
        <v>723</v>
      </c>
      <c r="J12" s="1325">
        <f t="shared" si="6"/>
        <v>1180759.8559046027</v>
      </c>
      <c r="K12" s="1325">
        <f t="shared" si="2"/>
        <v>8631958.8082763162</v>
      </c>
      <c r="L12" s="1340">
        <v>8134306</v>
      </c>
      <c r="M12" s="1336">
        <f t="shared" si="3"/>
        <v>1289008.9288767122</v>
      </c>
      <c r="N12" s="1340">
        <v>7681411</v>
      </c>
      <c r="O12" s="1336">
        <f>VLOOKUP(C12,'[1]Interest as per us on payment b'!C11:D197,2,0)</f>
        <v>7681411</v>
      </c>
      <c r="P12" s="1340">
        <v>3247316.475178082</v>
      </c>
      <c r="Q12" s="1339">
        <v>7681411</v>
      </c>
      <c r="R12" s="1336">
        <f t="shared" si="7"/>
        <v>7451169.8515859926</v>
      </c>
      <c r="S12" s="1336">
        <f t="shared" si="4"/>
        <v>10698486.326764075</v>
      </c>
      <c r="T12" s="1350">
        <f t="shared" si="5"/>
        <v>452895</v>
      </c>
      <c r="U12" s="1345" t="s">
        <v>3505</v>
      </c>
      <c r="V12" s="1328" t="s">
        <v>3506</v>
      </c>
    </row>
    <row r="13" spans="2:22" ht="30">
      <c r="B13" s="1323">
        <v>8</v>
      </c>
      <c r="C13" s="1376" t="s">
        <v>3507</v>
      </c>
      <c r="D13" s="467" t="s">
        <v>3508</v>
      </c>
      <c r="E13" s="1324">
        <v>6379088.1753807347</v>
      </c>
      <c r="F13" s="1325">
        <v>41155</v>
      </c>
      <c r="G13" s="1325">
        <f t="shared" si="0"/>
        <v>42432</v>
      </c>
      <c r="H13" s="1325">
        <v>43208</v>
      </c>
      <c r="I13" s="1325">
        <f t="shared" si="1"/>
        <v>776</v>
      </c>
      <c r="J13" s="1325">
        <f t="shared" si="6"/>
        <v>1084969.2984318794</v>
      </c>
      <c r="K13" s="1325">
        <f t="shared" si="2"/>
        <v>7464057.4738126136</v>
      </c>
      <c r="L13" s="1339">
        <v>6822150</v>
      </c>
      <c r="M13" s="1336">
        <f t="shared" si="3"/>
        <v>1160326.2246575342</v>
      </c>
      <c r="N13" s="1339">
        <v>6576202</v>
      </c>
      <c r="O13" s="1336">
        <f>VLOOKUP(C13,'[1]Interest as per us on payment b'!C12:D198,2,0)</f>
        <v>6576202</v>
      </c>
      <c r="P13" s="1339">
        <v>2692875.6970958901</v>
      </c>
      <c r="Q13" s="1339">
        <v>6576202</v>
      </c>
      <c r="R13" s="1336">
        <f t="shared" si="7"/>
        <v>6379088.1753807347</v>
      </c>
      <c r="S13" s="1336">
        <f t="shared" si="4"/>
        <v>9071963.8724766243</v>
      </c>
      <c r="T13" s="1350">
        <f t="shared" si="5"/>
        <v>245948</v>
      </c>
      <c r="U13" s="1346" t="s">
        <v>3509</v>
      </c>
      <c r="V13" s="1306" t="s">
        <v>3510</v>
      </c>
    </row>
    <row r="14" spans="2:22">
      <c r="B14" s="1323">
        <v>9</v>
      </c>
      <c r="C14" s="1376" t="s">
        <v>3268</v>
      </c>
      <c r="D14" s="621" t="s">
        <v>3511</v>
      </c>
      <c r="E14" s="1324">
        <v>6155590.2609370453</v>
      </c>
      <c r="F14" s="1325">
        <v>41344</v>
      </c>
      <c r="G14" s="1325">
        <f t="shared" si="0"/>
        <v>42624</v>
      </c>
      <c r="H14" s="1325">
        <v>43208</v>
      </c>
      <c r="I14" s="1325">
        <f t="shared" si="1"/>
        <v>584</v>
      </c>
      <c r="J14" s="1325">
        <f t="shared" si="6"/>
        <v>787915.55339994177</v>
      </c>
      <c r="K14" s="1325">
        <f t="shared" si="2"/>
        <v>6943505.8143369872</v>
      </c>
      <c r="L14" s="1339">
        <v>6345798</v>
      </c>
      <c r="M14" s="1336">
        <f t="shared" si="3"/>
        <v>812262.14400000009</v>
      </c>
      <c r="N14" s="1339">
        <v>6345798</v>
      </c>
      <c r="O14" s="1336">
        <v>6345797.9800000004</v>
      </c>
      <c r="P14" s="1339">
        <v>2554161.9509873977</v>
      </c>
      <c r="Q14" s="1339">
        <v>6345798</v>
      </c>
      <c r="R14" s="1336">
        <f t="shared" si="7"/>
        <v>6155590.2609370453</v>
      </c>
      <c r="S14" s="1336">
        <f t="shared" si="4"/>
        <v>8709752.211924443</v>
      </c>
      <c r="T14" s="1350">
        <f t="shared" si="5"/>
        <v>0</v>
      </c>
      <c r="U14" s="1346"/>
      <c r="V14" s="1306"/>
    </row>
    <row r="15" spans="2:22">
      <c r="B15" s="1323">
        <v>10</v>
      </c>
      <c r="C15" s="1376" t="s">
        <v>3243</v>
      </c>
      <c r="D15" s="621" t="s">
        <v>3512</v>
      </c>
      <c r="E15" s="1324">
        <v>7791433.6987098651</v>
      </c>
      <c r="F15" s="1325">
        <v>41477</v>
      </c>
      <c r="G15" s="1325">
        <f t="shared" si="0"/>
        <v>42757</v>
      </c>
      <c r="H15" s="1325">
        <v>43208</v>
      </c>
      <c r="I15" s="1325">
        <f t="shared" si="1"/>
        <v>451</v>
      </c>
      <c r="J15" s="1325">
        <f t="shared" si="6"/>
        <v>770177.88451904641</v>
      </c>
      <c r="K15" s="1325">
        <f t="shared" si="2"/>
        <v>8561611.5832289122</v>
      </c>
      <c r="L15" s="1339">
        <v>8032189</v>
      </c>
      <c r="M15" s="1336">
        <f t="shared" si="3"/>
        <v>793976.3811506849</v>
      </c>
      <c r="N15" s="1339">
        <v>9146109</v>
      </c>
      <c r="O15" s="1336">
        <v>8032199</v>
      </c>
      <c r="P15" s="1339">
        <v>3036152.5551780825</v>
      </c>
      <c r="Q15" s="1339">
        <v>8032189</v>
      </c>
      <c r="R15" s="1336">
        <f t="shared" si="7"/>
        <v>7791433.6987098651</v>
      </c>
      <c r="S15" s="1336">
        <f t="shared" si="4"/>
        <v>10827586.253887948</v>
      </c>
      <c r="T15" s="1350">
        <f t="shared" si="5"/>
        <v>0</v>
      </c>
      <c r="U15" s="1346"/>
      <c r="V15" s="1306"/>
    </row>
    <row r="16" spans="2:22" ht="30">
      <c r="B16" s="1323">
        <v>11</v>
      </c>
      <c r="C16" s="1376" t="s">
        <v>3513</v>
      </c>
      <c r="D16" s="621" t="s">
        <v>3514</v>
      </c>
      <c r="E16" s="1324">
        <v>5873783.102143758</v>
      </c>
      <c r="F16" s="1325">
        <v>41148</v>
      </c>
      <c r="G16" s="1325">
        <f t="shared" si="0"/>
        <v>42427</v>
      </c>
      <c r="H16" s="1325">
        <v>43208</v>
      </c>
      <c r="I16" s="1325">
        <f t="shared" si="1"/>
        <v>781</v>
      </c>
      <c r="J16" s="1325">
        <f t="shared" si="6"/>
        <v>1005462.9266354577</v>
      </c>
      <c r="K16" s="1325">
        <f t="shared" si="2"/>
        <v>6879246.0287792161</v>
      </c>
      <c r="L16" s="1339">
        <v>6055283</v>
      </c>
      <c r="M16" s="1336">
        <f t="shared" si="3"/>
        <v>1036531.7310684931</v>
      </c>
      <c r="N16" s="1339">
        <v>6055283</v>
      </c>
      <c r="O16" s="1336">
        <f>VLOOKUP(C16,'[1]Interest as per us on payment b'!C15:D201,2,0)</f>
        <v>6055283.0099999998</v>
      </c>
      <c r="P16" s="1339">
        <v>2557419.5006334246</v>
      </c>
      <c r="Q16" s="1339">
        <v>6055283</v>
      </c>
      <c r="R16" s="1336">
        <f t="shared" si="7"/>
        <v>5873783.102143758</v>
      </c>
      <c r="S16" s="1336">
        <f t="shared" si="4"/>
        <v>8431202.6027771831</v>
      </c>
      <c r="T16" s="1350">
        <f t="shared" si="5"/>
        <v>0</v>
      </c>
      <c r="U16" s="1346"/>
      <c r="V16" s="1306"/>
    </row>
    <row r="17" spans="2:22" ht="30">
      <c r="B17" s="1323">
        <v>12</v>
      </c>
      <c r="C17" s="1376" t="s">
        <v>3515</v>
      </c>
      <c r="D17" s="621" t="s">
        <v>3516</v>
      </c>
      <c r="E17" s="1324">
        <v>5641556.892036085</v>
      </c>
      <c r="F17" s="1325">
        <v>41096</v>
      </c>
      <c r="G17" s="1325">
        <f t="shared" si="0"/>
        <v>42375</v>
      </c>
      <c r="H17" s="1325">
        <v>43208</v>
      </c>
      <c r="I17" s="1325">
        <f t="shared" si="1"/>
        <v>833</v>
      </c>
      <c r="J17" s="1325">
        <f t="shared" si="6"/>
        <v>1030009.1816035197</v>
      </c>
      <c r="K17" s="1325">
        <f t="shared" si="2"/>
        <v>6671566.0736396052</v>
      </c>
      <c r="L17" s="1339">
        <v>5817366</v>
      </c>
      <c r="M17" s="1336">
        <f t="shared" si="3"/>
        <v>1062107.5896986302</v>
      </c>
      <c r="N17" s="1339">
        <v>5815881</v>
      </c>
      <c r="O17" s="1336">
        <f>VLOOKUP(C17,'[1]Interest as per us on payment b'!C16:D202,2,0)</f>
        <v>5817365.3499999996</v>
      </c>
      <c r="P17" s="1339">
        <v>2498237.1753490409</v>
      </c>
      <c r="Q17" s="1339">
        <v>5817366</v>
      </c>
      <c r="R17" s="1336">
        <f t="shared" si="7"/>
        <v>5642997.3809292847</v>
      </c>
      <c r="S17" s="1336">
        <f t="shared" si="4"/>
        <v>8141234.5562783256</v>
      </c>
      <c r="T17" s="1350">
        <f t="shared" si="5"/>
        <v>0</v>
      </c>
      <c r="U17" s="1346"/>
      <c r="V17" s="1306"/>
    </row>
    <row r="18" spans="2:22" ht="30">
      <c r="B18" s="1323">
        <v>13</v>
      </c>
      <c r="C18" s="1376" t="s">
        <v>3517</v>
      </c>
      <c r="D18" s="621" t="s">
        <v>3518</v>
      </c>
      <c r="E18" s="1324">
        <v>5507834.9015423413</v>
      </c>
      <c r="F18" s="1325">
        <v>41169</v>
      </c>
      <c r="G18" s="1325">
        <f t="shared" si="0"/>
        <v>42446</v>
      </c>
      <c r="H18" s="1325">
        <v>43208</v>
      </c>
      <c r="I18" s="1325">
        <f t="shared" si="1"/>
        <v>762</v>
      </c>
      <c r="J18" s="1325">
        <f t="shared" si="6"/>
        <v>919883.87835074286</v>
      </c>
      <c r="K18" s="1325">
        <f t="shared" si="2"/>
        <v>6427718.7798930844</v>
      </c>
      <c r="L18" s="1339">
        <v>5678324</v>
      </c>
      <c r="M18" s="1336">
        <f t="shared" si="3"/>
        <v>948357.89326027385</v>
      </c>
      <c r="N18" s="1339">
        <v>5678027</v>
      </c>
      <c r="O18" s="1336">
        <v>5678324.0099999998</v>
      </c>
      <c r="P18" s="1339">
        <v>2403677.6714301375</v>
      </c>
      <c r="Q18" s="1339">
        <v>5678324</v>
      </c>
      <c r="R18" s="1336">
        <f t="shared" si="7"/>
        <v>5508122.9993209811</v>
      </c>
      <c r="S18" s="1336">
        <f t="shared" si="4"/>
        <v>7911800.670751119</v>
      </c>
      <c r="T18" s="1350">
        <f t="shared" si="5"/>
        <v>0</v>
      </c>
      <c r="U18" s="1346"/>
      <c r="V18" s="1306"/>
    </row>
    <row r="19" spans="2:22" ht="30">
      <c r="B19" s="1323">
        <v>14</v>
      </c>
      <c r="C19" s="1376" t="s">
        <v>3519</v>
      </c>
      <c r="D19" s="467" t="s">
        <v>3520</v>
      </c>
      <c r="E19" s="1324">
        <v>5587135.5126588419</v>
      </c>
      <c r="F19" s="1325">
        <v>40959</v>
      </c>
      <c r="G19" s="1325">
        <f t="shared" si="0"/>
        <v>42236</v>
      </c>
      <c r="H19" s="1325">
        <v>43208</v>
      </c>
      <c r="I19" s="1325">
        <f t="shared" si="1"/>
        <v>972</v>
      </c>
      <c r="J19" s="1325">
        <f t="shared" si="6"/>
        <v>1190289.4725050726</v>
      </c>
      <c r="K19" s="1325">
        <f t="shared" si="2"/>
        <v>6777424.985163914</v>
      </c>
      <c r="L19" s="1339">
        <v>5759777</v>
      </c>
      <c r="M19" s="1336">
        <f t="shared" si="3"/>
        <v>1227069.2041643835</v>
      </c>
      <c r="N19" s="1339">
        <v>5759777</v>
      </c>
      <c r="O19" s="1336">
        <v>5759778.0099999998</v>
      </c>
      <c r="P19" s="1339">
        <v>2700147.1829150687</v>
      </c>
      <c r="Q19" s="1339">
        <v>5759777</v>
      </c>
      <c r="R19" s="1336">
        <f t="shared" si="7"/>
        <v>5587134.5426326506</v>
      </c>
      <c r="S19" s="1336">
        <f t="shared" si="4"/>
        <v>8287281.7255477197</v>
      </c>
      <c r="T19" s="1350">
        <f t="shared" si="5"/>
        <v>0</v>
      </c>
      <c r="U19" s="1346"/>
      <c r="V19" s="1306"/>
    </row>
    <row r="20" spans="2:22">
      <c r="B20" s="1323">
        <v>15</v>
      </c>
      <c r="C20" s="1376" t="s">
        <v>3521</v>
      </c>
      <c r="D20" s="621" t="s">
        <v>3522</v>
      </c>
      <c r="E20" s="1324">
        <v>9282668.5420506354</v>
      </c>
      <c r="F20" s="1325">
        <v>41374</v>
      </c>
      <c r="G20" s="1325">
        <f t="shared" si="0"/>
        <v>42653</v>
      </c>
      <c r="H20" s="1325">
        <v>43208</v>
      </c>
      <c r="I20" s="1325">
        <f t="shared" si="1"/>
        <v>555</v>
      </c>
      <c r="J20" s="1325">
        <f t="shared" si="6"/>
        <v>1129179.406211091</v>
      </c>
      <c r="K20" s="1325">
        <f t="shared" si="2"/>
        <v>10411847.948261727</v>
      </c>
      <c r="L20" s="1339">
        <v>9569501</v>
      </c>
      <c r="M20" s="1336">
        <f t="shared" si="3"/>
        <v>1164070.8065753423</v>
      </c>
      <c r="N20" s="1339">
        <v>9569502</v>
      </c>
      <c r="O20" s="1336">
        <f>VLOOKUP(C20,'[1]Interest as per us on payment b'!C19:D205,2,0)</f>
        <v>9569501</v>
      </c>
      <c r="P20" s="1339">
        <v>3759914.1293150685</v>
      </c>
      <c r="Q20" s="1339">
        <v>9569501</v>
      </c>
      <c r="R20" s="1336">
        <f t="shared" si="7"/>
        <v>9282666.6019982528</v>
      </c>
      <c r="S20" s="1336">
        <f t="shared" si="4"/>
        <v>13042580.731313322</v>
      </c>
      <c r="T20" s="1350">
        <f t="shared" si="5"/>
        <v>0</v>
      </c>
      <c r="U20" s="1346"/>
      <c r="V20" s="1306"/>
    </row>
    <row r="21" spans="2:22" ht="30">
      <c r="B21" s="1323">
        <v>16</v>
      </c>
      <c r="C21" s="1376" t="s">
        <v>3399</v>
      </c>
      <c r="D21" s="621" t="s">
        <v>3523</v>
      </c>
      <c r="E21" s="1324">
        <v>6842637.5012125326</v>
      </c>
      <c r="F21" s="1325">
        <v>40970</v>
      </c>
      <c r="G21" s="1325">
        <f t="shared" si="0"/>
        <v>42249</v>
      </c>
      <c r="H21" s="1325">
        <v>43208</v>
      </c>
      <c r="I21" s="1325">
        <f t="shared" si="1"/>
        <v>959</v>
      </c>
      <c r="J21" s="1325">
        <f t="shared" si="6"/>
        <v>1438266.1618987001</v>
      </c>
      <c r="K21" s="1325">
        <f t="shared" si="2"/>
        <v>8280903.6631112322</v>
      </c>
      <c r="L21" s="1339">
        <v>6858764</v>
      </c>
      <c r="M21" s="1336">
        <f t="shared" si="3"/>
        <v>1441655.8193972602</v>
      </c>
      <c r="N21" s="1339">
        <v>7054075</v>
      </c>
      <c r="O21" s="1336">
        <f>VLOOKUP(C21,'[1]Interest as per us on payment b'!C23:D209,2,0)</f>
        <v>6858764</v>
      </c>
      <c r="P21" s="1339">
        <v>2940263.2780273976</v>
      </c>
      <c r="Q21" s="1339">
        <v>7054075</v>
      </c>
      <c r="R21" s="1336">
        <f t="shared" si="7"/>
        <v>6842637.5012125326</v>
      </c>
      <c r="S21" s="1336">
        <f t="shared" si="4"/>
        <v>9782900.7792399302</v>
      </c>
      <c r="T21" s="1350">
        <v>0</v>
      </c>
      <c r="U21" s="1346" t="s">
        <v>3524</v>
      </c>
      <c r="V21" s="1306"/>
    </row>
    <row r="22" spans="2:22">
      <c r="B22" s="1323">
        <v>17</v>
      </c>
      <c r="C22" s="1376" t="s">
        <v>3400</v>
      </c>
      <c r="D22" s="621" t="s">
        <v>3525</v>
      </c>
      <c r="E22" s="1324">
        <v>6739551.8478998933</v>
      </c>
      <c r="F22" s="1325">
        <v>41156</v>
      </c>
      <c r="G22" s="1325">
        <f t="shared" si="0"/>
        <v>42433</v>
      </c>
      <c r="H22" s="1325">
        <v>43208</v>
      </c>
      <c r="I22" s="1325">
        <f t="shared" si="1"/>
        <v>775</v>
      </c>
      <c r="J22" s="1325">
        <f t="shared" si="6"/>
        <v>1144800.5878624476</v>
      </c>
      <c r="K22" s="1325">
        <f t="shared" si="2"/>
        <v>7884352.4357623411</v>
      </c>
      <c r="L22" s="1339">
        <v>6947713</v>
      </c>
      <c r="M22" s="1336">
        <f t="shared" si="3"/>
        <v>1180159.4684931508</v>
      </c>
      <c r="N22" s="1339">
        <v>6947804</v>
      </c>
      <c r="O22" s="1336">
        <f>VLOOKUP(C22,'[1]Interest as per us on payment b'!C24:D210,2,0)</f>
        <v>6947713.1099999994</v>
      </c>
      <c r="P22" s="1339">
        <v>2943051.2623408223</v>
      </c>
      <c r="Q22" s="1339">
        <v>6947713</v>
      </c>
      <c r="R22" s="1336">
        <f t="shared" si="7"/>
        <v>6739463.5755165387</v>
      </c>
      <c r="S22" s="1336">
        <f t="shared" si="4"/>
        <v>9682514.8378573619</v>
      </c>
      <c r="T22" s="1350">
        <f t="shared" ref="T22:T53" si="8">+L22-Q22</f>
        <v>0</v>
      </c>
      <c r="U22" s="1346"/>
      <c r="V22" s="1306"/>
    </row>
    <row r="23" spans="2:22" ht="30">
      <c r="B23" s="1323">
        <v>18</v>
      </c>
      <c r="C23" s="1376" t="s">
        <v>3401</v>
      </c>
      <c r="D23" s="621" t="s">
        <v>3526</v>
      </c>
      <c r="E23" s="1324">
        <v>5865807.5468037631</v>
      </c>
      <c r="F23" s="1325">
        <v>41318</v>
      </c>
      <c r="G23" s="1325">
        <f t="shared" si="0"/>
        <v>42595</v>
      </c>
      <c r="H23" s="1325">
        <v>43208</v>
      </c>
      <c r="I23" s="1325">
        <f t="shared" si="1"/>
        <v>613</v>
      </c>
      <c r="J23" s="1325">
        <f t="shared" si="6"/>
        <v>788107.40300070285</v>
      </c>
      <c r="K23" s="1325">
        <f t="shared" si="2"/>
        <v>6653914.9498044662</v>
      </c>
      <c r="L23" s="1339">
        <v>6047060</v>
      </c>
      <c r="M23" s="1336">
        <f t="shared" si="3"/>
        <v>812459.7873972602</v>
      </c>
      <c r="N23" s="1339">
        <v>6047061</v>
      </c>
      <c r="O23" s="1336">
        <v>6047061.5999999996</v>
      </c>
      <c r="P23" s="1339">
        <v>2563514.6588931517</v>
      </c>
      <c r="Q23" s="1339">
        <v>6047060</v>
      </c>
      <c r="R23" s="1336">
        <f t="shared" si="7"/>
        <v>5865806.5767775727</v>
      </c>
      <c r="S23" s="1336">
        <f t="shared" si="4"/>
        <v>8429321.2356707249</v>
      </c>
      <c r="T23" s="1350">
        <f t="shared" si="8"/>
        <v>0</v>
      </c>
      <c r="U23" s="1346"/>
      <c r="V23" s="1306"/>
    </row>
    <row r="24" spans="2:22">
      <c r="B24" s="1323">
        <v>19</v>
      </c>
      <c r="C24" s="1376" t="s">
        <v>3267</v>
      </c>
      <c r="D24" s="621" t="s">
        <v>3527</v>
      </c>
      <c r="E24" s="1324">
        <v>6829611.0194975259</v>
      </c>
      <c r="F24" s="1325">
        <v>41150</v>
      </c>
      <c r="G24" s="1325">
        <f>EDATE(F24,42)</f>
        <v>42429</v>
      </c>
      <c r="H24" s="1325">
        <v>43208</v>
      </c>
      <c r="I24" s="1325">
        <f t="shared" si="1"/>
        <v>779</v>
      </c>
      <c r="J24" s="1325">
        <f t="shared" si="6"/>
        <v>1166085.914342701</v>
      </c>
      <c r="K24" s="1325">
        <f>E24+J24</f>
        <v>7995696.9338402264</v>
      </c>
      <c r="L24" s="1339">
        <v>7040644</v>
      </c>
      <c r="M24" s="1336">
        <f t="shared" si="3"/>
        <v>1202117.6276164383</v>
      </c>
      <c r="N24" s="1339">
        <v>7040646</v>
      </c>
      <c r="O24" s="1336">
        <f>VLOOKUP(C24,'[1]Interest as per us on payment b'!C26:D212,2,0)</f>
        <v>7040646</v>
      </c>
      <c r="P24" s="1339">
        <v>2906652.1087123291</v>
      </c>
      <c r="Q24" s="1339">
        <v>7040644</v>
      </c>
      <c r="R24" s="1336">
        <f t="shared" si="7"/>
        <v>6829609.0794451451</v>
      </c>
      <c r="S24" s="1336">
        <f t="shared" si="4"/>
        <v>9736261.1881574746</v>
      </c>
      <c r="T24" s="1350">
        <f t="shared" si="8"/>
        <v>0</v>
      </c>
      <c r="U24" s="1346"/>
      <c r="V24" s="1306"/>
    </row>
    <row r="25" spans="2:22">
      <c r="B25" s="1323">
        <v>20</v>
      </c>
      <c r="C25" s="1376" t="s">
        <v>3475</v>
      </c>
      <c r="D25" s="467" t="s">
        <v>3528</v>
      </c>
      <c r="E25" s="1324">
        <f>L25*100/103.09</f>
        <v>8698149.209428655</v>
      </c>
      <c r="F25" s="1325">
        <v>41122</v>
      </c>
      <c r="G25" s="1325">
        <f>EDATE(F25,42)</f>
        <v>42401</v>
      </c>
      <c r="H25" s="1325">
        <v>43208</v>
      </c>
      <c r="I25" s="1325">
        <f t="shared" si="1"/>
        <v>807</v>
      </c>
      <c r="J25" s="1325">
        <f t="shared" si="6"/>
        <v>1538500.0355088052</v>
      </c>
      <c r="K25" s="1325">
        <f>E25+J25</f>
        <v>10236649.244937461</v>
      </c>
      <c r="L25" s="1339">
        <v>8966922.0199999996</v>
      </c>
      <c r="M25" s="1336">
        <f t="shared" si="3"/>
        <v>1586039.6866060272</v>
      </c>
      <c r="N25" s="1339">
        <v>13389100</v>
      </c>
      <c r="O25" s="1336">
        <f>VLOOKUP(C25,'[1]Interest as per us on payment b'!C27:D213,2,0)</f>
        <v>8966922</v>
      </c>
      <c r="P25" s="1339">
        <v>4306015.5870684935</v>
      </c>
      <c r="Q25" s="1339">
        <v>8966922.0199999996</v>
      </c>
      <c r="R25" s="1336">
        <f t="shared" si="7"/>
        <v>8698149.209428655</v>
      </c>
      <c r="S25" s="1336">
        <f t="shared" si="4"/>
        <v>13004164.796497148</v>
      </c>
      <c r="T25" s="1350">
        <f t="shared" si="8"/>
        <v>0</v>
      </c>
      <c r="U25" s="1346"/>
      <c r="V25" s="1306" t="s">
        <v>3529</v>
      </c>
    </row>
    <row r="26" spans="2:22" ht="30">
      <c r="B26" s="1323">
        <v>21</v>
      </c>
      <c r="C26" s="1376" t="s">
        <v>3402</v>
      </c>
      <c r="D26" s="621" t="s">
        <v>3530</v>
      </c>
      <c r="E26" s="1324">
        <v>6327933.844213794</v>
      </c>
      <c r="F26" s="1325">
        <v>40651</v>
      </c>
      <c r="G26" s="1325">
        <f t="shared" ref="G26:G89" si="9">EDATE(F26,42)</f>
        <v>41930</v>
      </c>
      <c r="H26" s="1325">
        <v>43208</v>
      </c>
      <c r="I26" s="1325">
        <f t="shared" si="1"/>
        <v>1278</v>
      </c>
      <c r="J26" s="1325">
        <f t="shared" si="6"/>
        <v>1772514.948581968</v>
      </c>
      <c r="K26" s="1325">
        <f t="shared" ref="K26:K89" si="10">E26+J26</f>
        <v>8100448.7927957624</v>
      </c>
      <c r="L26" s="1339">
        <v>6523458</v>
      </c>
      <c r="M26" s="1336">
        <f t="shared" si="3"/>
        <v>1827283.1395068495</v>
      </c>
      <c r="N26" s="1339">
        <v>6523467</v>
      </c>
      <c r="O26" s="1336">
        <f>VLOOKUP(C26,'[1]Interest as per us on payment b'!C28:D214,2,0)</f>
        <v>6523468</v>
      </c>
      <c r="P26" s="1339">
        <v>2819682.6185205481</v>
      </c>
      <c r="Q26" s="1339">
        <v>6523458</v>
      </c>
      <c r="R26" s="1336">
        <f t="shared" si="7"/>
        <v>6327925.1139780777</v>
      </c>
      <c r="S26" s="1336">
        <f t="shared" si="4"/>
        <v>9147607.7324986253</v>
      </c>
      <c r="T26" s="1350">
        <f t="shared" si="8"/>
        <v>0</v>
      </c>
      <c r="U26" s="1346"/>
      <c r="V26" s="1306"/>
    </row>
    <row r="27" spans="2:22">
      <c r="B27" s="1323">
        <v>22</v>
      </c>
      <c r="C27" s="1376" t="s">
        <v>3215</v>
      </c>
      <c r="D27" s="621" t="s">
        <v>3531</v>
      </c>
      <c r="E27" s="1324">
        <v>4628756.4264235133</v>
      </c>
      <c r="F27" s="1325">
        <v>40933</v>
      </c>
      <c r="G27" s="1325">
        <f t="shared" si="9"/>
        <v>42210</v>
      </c>
      <c r="H27" s="1325">
        <v>43208</v>
      </c>
      <c r="I27" s="1325">
        <f t="shared" si="1"/>
        <v>998</v>
      </c>
      <c r="J27" s="1325">
        <f t="shared" si="6"/>
        <v>1012492.9125634336</v>
      </c>
      <c r="K27" s="1325">
        <f t="shared" si="10"/>
        <v>5641249.3389869472</v>
      </c>
      <c r="L27" s="1339">
        <v>4771783</v>
      </c>
      <c r="M27" s="1336">
        <f t="shared" si="3"/>
        <v>1043778.5060821917</v>
      </c>
      <c r="N27" s="1339">
        <v>4771785</v>
      </c>
      <c r="O27" s="1336">
        <f>VLOOKUP(C27,'[1]Interest as per us on payment b'!C29:D215,2,0)</f>
        <v>4771783</v>
      </c>
      <c r="P27" s="1339">
        <v>881458.3449863015</v>
      </c>
      <c r="Q27" s="1339">
        <v>4771783</v>
      </c>
      <c r="R27" s="1336">
        <f t="shared" si="7"/>
        <v>4628754.4863711316</v>
      </c>
      <c r="S27" s="1336">
        <f t="shared" si="4"/>
        <v>5510212.8313574335</v>
      </c>
      <c r="T27" s="1350">
        <f t="shared" si="8"/>
        <v>0</v>
      </c>
      <c r="U27" s="1346"/>
      <c r="V27" s="1306"/>
    </row>
    <row r="28" spans="2:22">
      <c r="B28" s="1323">
        <v>23</v>
      </c>
      <c r="C28" s="1376" t="s">
        <v>3403</v>
      </c>
      <c r="D28" s="621" t="s">
        <v>3532</v>
      </c>
      <c r="E28" s="1324">
        <v>5320894.3641478317</v>
      </c>
      <c r="F28" s="1325">
        <v>41158</v>
      </c>
      <c r="G28" s="1325">
        <f t="shared" si="9"/>
        <v>42435</v>
      </c>
      <c r="H28" s="1325">
        <v>43208</v>
      </c>
      <c r="I28" s="1325">
        <f t="shared" si="1"/>
        <v>773</v>
      </c>
      <c r="J28" s="1325">
        <f t="shared" si="6"/>
        <v>901490.70542164915</v>
      </c>
      <c r="K28" s="1325">
        <f t="shared" si="10"/>
        <v>6222385.0695694806</v>
      </c>
      <c r="L28" s="1339">
        <v>5485310</v>
      </c>
      <c r="M28" s="1336">
        <f t="shared" si="3"/>
        <v>929346.76821917796</v>
      </c>
      <c r="N28" s="1339">
        <v>5485310</v>
      </c>
      <c r="O28" s="1336">
        <f>VLOOKUP(C28,'[1]Interest as per us on payment b'!C30:D216,2,0)</f>
        <v>5485310.0099999998</v>
      </c>
      <c r="P28" s="1339">
        <v>2281051.031609863</v>
      </c>
      <c r="Q28" s="1339">
        <v>5485310</v>
      </c>
      <c r="R28" s="1336">
        <f t="shared" si="7"/>
        <v>5320894.3641478317</v>
      </c>
      <c r="S28" s="1336">
        <f t="shared" si="4"/>
        <v>7601945.3957576947</v>
      </c>
      <c r="T28" s="1350">
        <f t="shared" si="8"/>
        <v>0</v>
      </c>
      <c r="U28" s="1346"/>
      <c r="V28" s="1306"/>
    </row>
    <row r="29" spans="2:22">
      <c r="B29" s="1323">
        <v>24</v>
      </c>
      <c r="C29" s="1376" t="s">
        <v>3245</v>
      </c>
      <c r="D29" s="621" t="s">
        <v>3533</v>
      </c>
      <c r="E29" s="1324">
        <v>6136954.1177611798</v>
      </c>
      <c r="F29" s="1325">
        <v>41216</v>
      </c>
      <c r="G29" s="1325">
        <f t="shared" si="9"/>
        <v>42493</v>
      </c>
      <c r="H29" s="1325">
        <v>43208</v>
      </c>
      <c r="I29" s="1325">
        <f t="shared" si="1"/>
        <v>715</v>
      </c>
      <c r="J29" s="1325">
        <f t="shared" si="6"/>
        <v>961736.37133134098</v>
      </c>
      <c r="K29" s="1325">
        <f t="shared" si="10"/>
        <v>7098690.4890925204</v>
      </c>
      <c r="L29" s="1339">
        <v>6300000</v>
      </c>
      <c r="M29" s="1336">
        <f t="shared" si="3"/>
        <v>987287.67123287683</v>
      </c>
      <c r="N29" s="1339">
        <v>6326586</v>
      </c>
      <c r="O29" s="1336">
        <f>VLOOKUP(C29,'[1]Interest as per us on payment b'!C31:D217,2,0)</f>
        <v>6300000.0199999996</v>
      </c>
      <c r="P29" s="1339">
        <v>2527755.2919320548</v>
      </c>
      <c r="Q29" s="1339">
        <v>6300000</v>
      </c>
      <c r="R29" s="1336">
        <f t="shared" si="7"/>
        <v>6111165.0014550388</v>
      </c>
      <c r="S29" s="1336">
        <f t="shared" si="4"/>
        <v>8638920.2933870926</v>
      </c>
      <c r="T29" s="1350">
        <f t="shared" si="8"/>
        <v>0</v>
      </c>
      <c r="U29" s="1346"/>
      <c r="V29" s="1306"/>
    </row>
    <row r="30" spans="2:22">
      <c r="B30" s="1323">
        <v>25</v>
      </c>
      <c r="C30" s="1376" t="s">
        <v>3404</v>
      </c>
      <c r="D30" s="621" t="s">
        <v>3534</v>
      </c>
      <c r="E30" s="1324">
        <v>6707688.4275875445</v>
      </c>
      <c r="F30" s="1325">
        <v>41149</v>
      </c>
      <c r="G30" s="1325">
        <f t="shared" si="9"/>
        <v>42428</v>
      </c>
      <c r="H30" s="1325">
        <v>43208</v>
      </c>
      <c r="I30" s="1325">
        <f t="shared" si="1"/>
        <v>780</v>
      </c>
      <c r="J30" s="1325">
        <f t="shared" si="6"/>
        <v>1146739.0626889393</v>
      </c>
      <c r="K30" s="1325">
        <f t="shared" si="10"/>
        <v>7854427.4902764838</v>
      </c>
      <c r="L30" s="1339">
        <v>6922356</v>
      </c>
      <c r="M30" s="1336">
        <f t="shared" si="3"/>
        <v>1183438.3956164382</v>
      </c>
      <c r="N30" s="1339">
        <v>6914956</v>
      </c>
      <c r="O30" s="1336">
        <f>VLOOKUP(C30,'[1]Interest as per us on payment b'!C32:D218,2,0)</f>
        <v>6922356</v>
      </c>
      <c r="P30" s="1339">
        <v>2863030.3504657531</v>
      </c>
      <c r="Q30" s="1339">
        <v>6922356</v>
      </c>
      <c r="R30" s="1336">
        <f t="shared" si="7"/>
        <v>6714866.6213987777</v>
      </c>
      <c r="S30" s="1336">
        <f t="shared" si="4"/>
        <v>9577896.9718645308</v>
      </c>
      <c r="T30" s="1350">
        <f t="shared" si="8"/>
        <v>0</v>
      </c>
      <c r="U30" s="1346"/>
      <c r="V30" s="1306"/>
    </row>
    <row r="31" spans="2:22">
      <c r="B31" s="1323">
        <v>26</v>
      </c>
      <c r="C31" s="1376" t="s">
        <v>3405</v>
      </c>
      <c r="D31" s="621" t="s">
        <v>3535</v>
      </c>
      <c r="E31" s="1324">
        <v>4947133.5726064602</v>
      </c>
      <c r="F31" s="1325">
        <v>40960</v>
      </c>
      <c r="G31" s="1325">
        <f t="shared" si="9"/>
        <v>42237</v>
      </c>
      <c r="H31" s="1325">
        <v>43208</v>
      </c>
      <c r="I31" s="1325">
        <f t="shared" si="1"/>
        <v>971</v>
      </c>
      <c r="J31" s="1325">
        <f t="shared" si="6"/>
        <v>1052858.4545755337</v>
      </c>
      <c r="K31" s="1325">
        <f t="shared" si="10"/>
        <v>5999992.0271819942</v>
      </c>
      <c r="L31" s="1339">
        <v>5100000</v>
      </c>
      <c r="M31" s="1336">
        <f t="shared" si="3"/>
        <v>1085391.7808219178</v>
      </c>
      <c r="N31" s="1339">
        <v>5100000</v>
      </c>
      <c r="O31" s="1336">
        <v>5100000</v>
      </c>
      <c r="P31" s="1339">
        <v>2188054.7945205481</v>
      </c>
      <c r="Q31" s="1339">
        <v>5100000</v>
      </c>
      <c r="R31" s="1336">
        <f t="shared" si="7"/>
        <v>4947133.5726064602</v>
      </c>
      <c r="S31" s="1336">
        <f t="shared" si="4"/>
        <v>7135188.3671270087</v>
      </c>
      <c r="T31" s="1350">
        <f t="shared" si="8"/>
        <v>0</v>
      </c>
      <c r="U31" s="1346"/>
      <c r="V31" s="1306"/>
    </row>
    <row r="32" spans="2:22" ht="30">
      <c r="B32" s="1323">
        <v>27</v>
      </c>
      <c r="C32" s="1376" t="s">
        <v>3406</v>
      </c>
      <c r="D32" s="621" t="s">
        <v>3536</v>
      </c>
      <c r="E32" s="1324">
        <v>6761590.8429527599</v>
      </c>
      <c r="F32" s="1325">
        <v>41148</v>
      </c>
      <c r="G32" s="1325">
        <f t="shared" si="9"/>
        <v>42427</v>
      </c>
      <c r="H32" s="1325">
        <v>43208</v>
      </c>
      <c r="I32" s="1325">
        <f t="shared" si="1"/>
        <v>781</v>
      </c>
      <c r="J32" s="1325">
        <f t="shared" si="6"/>
        <v>1157436.1530621601</v>
      </c>
      <c r="K32" s="1325">
        <f t="shared" si="10"/>
        <v>7919026.9960149201</v>
      </c>
      <c r="L32" s="1339">
        <v>6970524</v>
      </c>
      <c r="M32" s="1336">
        <f t="shared" si="3"/>
        <v>1193200.9301917809</v>
      </c>
      <c r="N32" s="1339">
        <v>6970524</v>
      </c>
      <c r="O32" s="1336">
        <f>VLOOKUP(C32,'[1]Interest as per us on payment b'!C35:D220,2,0)</f>
        <v>6970523.04</v>
      </c>
      <c r="P32" s="1339">
        <v>2890833.5908909589</v>
      </c>
      <c r="Q32" s="1339">
        <v>6970524</v>
      </c>
      <c r="R32" s="1336">
        <f t="shared" si="7"/>
        <v>6761590.8429527599</v>
      </c>
      <c r="S32" s="1336">
        <f t="shared" si="4"/>
        <v>9652424.4338437188</v>
      </c>
      <c r="T32" s="1350">
        <f t="shared" si="8"/>
        <v>0</v>
      </c>
      <c r="U32" s="1346"/>
      <c r="V32" s="1306"/>
    </row>
    <row r="33" spans="2:22">
      <c r="B33" s="1323">
        <v>28</v>
      </c>
      <c r="C33" s="1376" t="s">
        <v>3476</v>
      </c>
      <c r="D33" s="621" t="s">
        <v>3537</v>
      </c>
      <c r="E33" s="1324">
        <f>L33*100/103.09</f>
        <v>3401328.9358812687</v>
      </c>
      <c r="F33" s="1325">
        <v>41036</v>
      </c>
      <c r="G33" s="1325">
        <f t="shared" si="9"/>
        <v>42315</v>
      </c>
      <c r="H33" s="1325">
        <v>43208</v>
      </c>
      <c r="I33" s="1325">
        <f t="shared" si="1"/>
        <v>893</v>
      </c>
      <c r="J33" s="1325">
        <f t="shared" si="6"/>
        <v>665728.60049139138</v>
      </c>
      <c r="K33" s="1325">
        <f t="shared" si="10"/>
        <v>4067057.5363726602</v>
      </c>
      <c r="L33" s="1339">
        <v>3506430</v>
      </c>
      <c r="M33" s="1336">
        <f t="shared" si="3"/>
        <v>686299.61424657539</v>
      </c>
      <c r="N33" s="1339">
        <v>4257131</v>
      </c>
      <c r="O33" s="1336">
        <v>4257131</v>
      </c>
      <c r="P33" s="1339">
        <v>1825912.5036712326</v>
      </c>
      <c r="Q33" s="1339">
        <v>3506430</v>
      </c>
      <c r="R33" s="1336">
        <f t="shared" si="7"/>
        <v>3401328.9358812687</v>
      </c>
      <c r="S33" s="1336">
        <f t="shared" si="4"/>
        <v>5227241.4395525008</v>
      </c>
      <c r="T33" s="1350">
        <f t="shared" si="8"/>
        <v>0</v>
      </c>
      <c r="U33" s="1346" t="s">
        <v>3538</v>
      </c>
      <c r="V33" s="1306"/>
    </row>
    <row r="34" spans="2:22" ht="30">
      <c r="B34" s="1323">
        <v>29</v>
      </c>
      <c r="C34" s="1376" t="s">
        <v>3408</v>
      </c>
      <c r="D34" s="621" t="s">
        <v>3539</v>
      </c>
      <c r="E34" s="1324">
        <v>5860813.851974003</v>
      </c>
      <c r="F34" s="1325">
        <v>41149</v>
      </c>
      <c r="G34" s="1325">
        <f t="shared" si="9"/>
        <v>42428</v>
      </c>
      <c r="H34" s="1325">
        <v>43208</v>
      </c>
      <c r="I34" s="1325">
        <f t="shared" si="1"/>
        <v>780</v>
      </c>
      <c r="J34" s="1325">
        <f t="shared" si="6"/>
        <v>1001958.3133237747</v>
      </c>
      <c r="K34" s="1325">
        <f t="shared" si="10"/>
        <v>6862772.1652977774</v>
      </c>
      <c r="L34" s="1339">
        <v>6041913</v>
      </c>
      <c r="M34" s="1336">
        <f t="shared" si="3"/>
        <v>1032918.8252054794</v>
      </c>
      <c r="N34" s="1339">
        <v>6041913</v>
      </c>
      <c r="O34" s="1336">
        <f>VLOOKUP(C34,'[1]Interest as per us on payment b'!C38:D223,2,0)</f>
        <v>6041913</v>
      </c>
      <c r="P34" s="1339">
        <v>2532808.9613150684</v>
      </c>
      <c r="Q34" s="1339">
        <v>6041913</v>
      </c>
      <c r="R34" s="1336">
        <f t="shared" si="7"/>
        <v>5860813.851974003</v>
      </c>
      <c r="S34" s="1336">
        <f t="shared" si="4"/>
        <v>8393622.8132890724</v>
      </c>
      <c r="T34" s="1350">
        <f t="shared" si="8"/>
        <v>0</v>
      </c>
      <c r="U34" s="1346"/>
      <c r="V34" s="1306"/>
    </row>
    <row r="35" spans="2:22" ht="30">
      <c r="B35" s="1323">
        <v>30</v>
      </c>
      <c r="C35" s="1376" t="s">
        <v>3409</v>
      </c>
      <c r="D35" s="621" t="s">
        <v>3540</v>
      </c>
      <c r="E35" s="1324">
        <v>6820610.1464739544</v>
      </c>
      <c r="F35" s="1325">
        <v>41102</v>
      </c>
      <c r="G35" s="1325">
        <f t="shared" si="9"/>
        <v>42381</v>
      </c>
      <c r="H35" s="1325">
        <v>43208</v>
      </c>
      <c r="I35" s="1325">
        <f t="shared" si="1"/>
        <v>827</v>
      </c>
      <c r="J35" s="1325">
        <f t="shared" si="6"/>
        <v>1236305.6638101833</v>
      </c>
      <c r="K35" s="1325">
        <f t="shared" si="10"/>
        <v>8056915.8102841377</v>
      </c>
      <c r="L35" s="1339">
        <v>7031366</v>
      </c>
      <c r="M35" s="1336">
        <f t="shared" si="3"/>
        <v>1274507.3275616439</v>
      </c>
      <c r="N35" s="1339">
        <v>7031367</v>
      </c>
      <c r="O35" s="1336">
        <f>VLOOKUP(C35,'[1]Interest as per us on payment b'!C39:D224,2,0)</f>
        <v>7031366.46</v>
      </c>
      <c r="P35" s="1339">
        <v>3146370.746809863</v>
      </c>
      <c r="Q35" s="1339">
        <v>7031366</v>
      </c>
      <c r="R35" s="1336">
        <f t="shared" si="7"/>
        <v>6820609.176447764</v>
      </c>
      <c r="S35" s="1336">
        <f t="shared" si="4"/>
        <v>9966979.9232576266</v>
      </c>
      <c r="T35" s="1350">
        <f t="shared" si="8"/>
        <v>0</v>
      </c>
      <c r="U35" s="1346"/>
      <c r="V35" s="1306"/>
    </row>
    <row r="36" spans="2:22">
      <c r="B36" s="1323">
        <v>31</v>
      </c>
      <c r="C36" s="1376" t="s">
        <v>3244</v>
      </c>
      <c r="D36" s="621" t="s">
        <v>3541</v>
      </c>
      <c r="E36" s="1324">
        <v>4962222.3300029095</v>
      </c>
      <c r="F36" s="1325">
        <v>41290</v>
      </c>
      <c r="G36" s="1325">
        <f t="shared" si="9"/>
        <v>42567</v>
      </c>
      <c r="H36" s="1325">
        <v>43208</v>
      </c>
      <c r="I36" s="1325">
        <f t="shared" si="1"/>
        <v>641</v>
      </c>
      <c r="J36" s="1325">
        <f t="shared" si="6"/>
        <v>697158.24954123062</v>
      </c>
      <c r="K36" s="1325">
        <f t="shared" si="10"/>
        <v>5659380.57954414</v>
      </c>
      <c r="L36" s="1339">
        <v>5115555</v>
      </c>
      <c r="M36" s="1336">
        <f t="shared" si="3"/>
        <v>718700.43945205491</v>
      </c>
      <c r="N36" s="1339">
        <v>5115555</v>
      </c>
      <c r="O36" s="1336">
        <f>VLOOKUP(C36,'[1]Interest as per us on payment b'!C40:D225,2,0)</f>
        <v>5115555.01</v>
      </c>
      <c r="P36" s="1339">
        <v>2325742.8258652054</v>
      </c>
      <c r="Q36" s="1339">
        <v>5115555</v>
      </c>
      <c r="R36" s="1336">
        <f t="shared" si="7"/>
        <v>4962222.3300029095</v>
      </c>
      <c r="S36" s="1336">
        <f t="shared" si="4"/>
        <v>7287965.1558681149</v>
      </c>
      <c r="T36" s="1350">
        <f t="shared" si="8"/>
        <v>0</v>
      </c>
      <c r="U36" s="1346"/>
      <c r="V36" s="1306"/>
    </row>
    <row r="37" spans="2:22">
      <c r="B37" s="1323">
        <v>32</v>
      </c>
      <c r="C37" s="1376" t="s">
        <v>3410</v>
      </c>
      <c r="D37" s="621" t="s">
        <v>3542</v>
      </c>
      <c r="E37" s="1324">
        <v>4848296.6340091182</v>
      </c>
      <c r="F37" s="1325">
        <v>41011</v>
      </c>
      <c r="G37" s="1325">
        <f t="shared" si="9"/>
        <v>42289</v>
      </c>
      <c r="H37" s="1325">
        <v>43208</v>
      </c>
      <c r="I37" s="1325">
        <f t="shared" si="1"/>
        <v>919</v>
      </c>
      <c r="J37" s="1325">
        <f t="shared" si="6"/>
        <v>976566.48912972701</v>
      </c>
      <c r="K37" s="1325">
        <f t="shared" si="10"/>
        <v>5824863.123138845</v>
      </c>
      <c r="L37" s="1339">
        <v>4998109</v>
      </c>
      <c r="M37" s="1336">
        <f t="shared" si="3"/>
        <v>1006742.3936438354</v>
      </c>
      <c r="N37" s="1339">
        <v>4998109</v>
      </c>
      <c r="O37" s="1336">
        <f>VLOOKUP(C37,'[1]Interest as per us on payment b'!C41:D226,2,0)</f>
        <v>4998109</v>
      </c>
      <c r="P37" s="1339">
        <v>2299676.5564931501</v>
      </c>
      <c r="Q37" s="1339">
        <v>4998109</v>
      </c>
      <c r="R37" s="1336">
        <f t="shared" si="7"/>
        <v>4848296.6340091182</v>
      </c>
      <c r="S37" s="1336">
        <f t="shared" si="4"/>
        <v>7147973.1905022683</v>
      </c>
      <c r="T37" s="1350">
        <f t="shared" si="8"/>
        <v>0</v>
      </c>
      <c r="U37" s="1346"/>
      <c r="V37" s="1306"/>
    </row>
    <row r="38" spans="2:22">
      <c r="B38" s="1323">
        <v>33</v>
      </c>
      <c r="C38" s="1376" t="s">
        <v>3274</v>
      </c>
      <c r="D38" s="621" t="s">
        <v>3543</v>
      </c>
      <c r="E38" s="1324">
        <v>6739551.8478998933</v>
      </c>
      <c r="F38" s="1325">
        <v>41156</v>
      </c>
      <c r="G38" s="1325">
        <f t="shared" si="9"/>
        <v>42433</v>
      </c>
      <c r="H38" s="1325">
        <v>43208</v>
      </c>
      <c r="I38" s="1325">
        <f t="shared" si="1"/>
        <v>775</v>
      </c>
      <c r="J38" s="1325">
        <f t="shared" si="6"/>
        <v>1144800.5878624476</v>
      </c>
      <c r="K38" s="1325">
        <f t="shared" si="10"/>
        <v>7884352.4357623411</v>
      </c>
      <c r="L38" s="1339">
        <v>6955377</v>
      </c>
      <c r="M38" s="1336">
        <f t="shared" si="3"/>
        <v>1181461.2986301372</v>
      </c>
      <c r="N38" s="1339">
        <v>6947708</v>
      </c>
      <c r="O38" s="1336">
        <f>VLOOKUP(C38,'[1]Interest as per us on payment b'!C42:D227,2,0)</f>
        <v>6955476</v>
      </c>
      <c r="P38" s="1339">
        <v>2978982.6586301364</v>
      </c>
      <c r="Q38" s="1339">
        <v>6955377</v>
      </c>
      <c r="R38" s="1336">
        <f t="shared" si="7"/>
        <v>6746897.8562421184</v>
      </c>
      <c r="S38" s="1336">
        <f t="shared" ref="S38:S69" si="11">+R38+P38</f>
        <v>9725880.5148722548</v>
      </c>
      <c r="T38" s="1350">
        <f t="shared" si="8"/>
        <v>0</v>
      </c>
      <c r="U38" s="1346"/>
      <c r="V38" s="1306"/>
    </row>
    <row r="39" spans="2:22" ht="30">
      <c r="B39" s="1323">
        <v>34</v>
      </c>
      <c r="C39" s="1376" t="s">
        <v>3411</v>
      </c>
      <c r="D39" s="621" t="s">
        <v>3544</v>
      </c>
      <c r="E39" s="1324">
        <v>6327933.844213794</v>
      </c>
      <c r="F39" s="1325">
        <v>40651</v>
      </c>
      <c r="G39" s="1325">
        <f t="shared" si="9"/>
        <v>41930</v>
      </c>
      <c r="H39" s="1325">
        <v>43208</v>
      </c>
      <c r="I39" s="1325">
        <f t="shared" si="1"/>
        <v>1278</v>
      </c>
      <c r="J39" s="1325">
        <f t="shared" si="6"/>
        <v>1772514.948581968</v>
      </c>
      <c r="K39" s="1325">
        <f t="shared" si="10"/>
        <v>8100448.7927957624</v>
      </c>
      <c r="L39" s="1339">
        <v>6523458</v>
      </c>
      <c r="M39" s="1336">
        <f t="shared" si="3"/>
        <v>1827283.1395068495</v>
      </c>
      <c r="N39" s="1339">
        <v>6523467</v>
      </c>
      <c r="O39" s="1336">
        <f>VLOOKUP(C39,'[1]Interest as per us on payment b'!C43:D228,2,0)</f>
        <v>6523468</v>
      </c>
      <c r="P39" s="1339">
        <v>2818933.7106849314</v>
      </c>
      <c r="Q39" s="1339">
        <v>6523458</v>
      </c>
      <c r="R39" s="1336">
        <f t="shared" si="7"/>
        <v>6327925.1139780777</v>
      </c>
      <c r="S39" s="1336">
        <f t="shared" si="11"/>
        <v>9146858.8246630095</v>
      </c>
      <c r="T39" s="1350">
        <f t="shared" si="8"/>
        <v>0</v>
      </c>
      <c r="U39" s="1346"/>
      <c r="V39" s="1306"/>
    </row>
    <row r="40" spans="2:22">
      <c r="B40" s="1323">
        <v>35</v>
      </c>
      <c r="C40" s="1376" t="s">
        <v>3273</v>
      </c>
      <c r="D40" s="621" t="s">
        <v>3545</v>
      </c>
      <c r="E40" s="1324">
        <v>5076323.6007372197</v>
      </c>
      <c r="F40" s="1325">
        <v>41129</v>
      </c>
      <c r="G40" s="1325">
        <f t="shared" si="9"/>
        <v>42408</v>
      </c>
      <c r="H40" s="1325">
        <v>43208</v>
      </c>
      <c r="I40" s="1325">
        <f t="shared" si="1"/>
        <v>800</v>
      </c>
      <c r="J40" s="1325">
        <f t="shared" si="6"/>
        <v>890095.0971155673</v>
      </c>
      <c r="K40" s="1325">
        <f t="shared" si="10"/>
        <v>5966418.6978527866</v>
      </c>
      <c r="L40" s="1339">
        <v>5233179</v>
      </c>
      <c r="M40" s="1336">
        <f t="shared" si="3"/>
        <v>917598.50958904112</v>
      </c>
      <c r="N40" s="1339">
        <v>5233182</v>
      </c>
      <c r="O40" s="1336">
        <f>VLOOKUP(C40,'[1]Interest as per us on payment b'!C44:D229,2,0)</f>
        <v>5233181</v>
      </c>
      <c r="P40" s="1339">
        <v>2385999.9734794521</v>
      </c>
      <c r="Q40" s="1339">
        <v>5233179</v>
      </c>
      <c r="R40" s="1336">
        <f t="shared" si="7"/>
        <v>5076320.6906586476</v>
      </c>
      <c r="S40" s="1336">
        <f t="shared" si="11"/>
        <v>7462320.6641380992</v>
      </c>
      <c r="T40" s="1350">
        <f t="shared" si="8"/>
        <v>0</v>
      </c>
      <c r="U40" s="1346"/>
      <c r="V40" s="1306"/>
    </row>
    <row r="41" spans="2:22">
      <c r="B41" s="1323">
        <v>36</v>
      </c>
      <c r="C41" s="1376" t="s">
        <v>3272</v>
      </c>
      <c r="D41" s="621" t="s">
        <v>3546</v>
      </c>
      <c r="E41" s="1324">
        <v>5185122.7083131243</v>
      </c>
      <c r="F41" s="1325">
        <v>41046</v>
      </c>
      <c r="G41" s="1325">
        <f t="shared" si="9"/>
        <v>42325</v>
      </c>
      <c r="H41" s="1325">
        <v>43208</v>
      </c>
      <c r="I41" s="1325">
        <f t="shared" si="1"/>
        <v>883</v>
      </c>
      <c r="J41" s="1325">
        <f t="shared" si="6"/>
        <v>1003498.8167540797</v>
      </c>
      <c r="K41" s="1325">
        <f t="shared" si="10"/>
        <v>6188621.5250672037</v>
      </c>
      <c r="L41" s="1339">
        <v>5345343</v>
      </c>
      <c r="M41" s="1336">
        <f t="shared" si="3"/>
        <v>1034506.9301917809</v>
      </c>
      <c r="N41" s="1339">
        <v>5345343</v>
      </c>
      <c r="O41" s="1336">
        <f>VLOOKUP(C41,'[1]Interest as per us on payment b'!C45:D230,2,0)</f>
        <v>5345343</v>
      </c>
      <c r="P41" s="1339">
        <v>2352574.2132602739</v>
      </c>
      <c r="Q41" s="1339">
        <v>5345343</v>
      </c>
      <c r="R41" s="1336">
        <f t="shared" si="7"/>
        <v>5185122.7083131243</v>
      </c>
      <c r="S41" s="1336">
        <f t="shared" si="11"/>
        <v>7537696.9215733986</v>
      </c>
      <c r="T41" s="1350">
        <f t="shared" si="8"/>
        <v>0</v>
      </c>
      <c r="U41" s="1346"/>
      <c r="V41" s="1306"/>
    </row>
    <row r="42" spans="2:22">
      <c r="B42" s="1323">
        <v>37</v>
      </c>
      <c r="C42" s="1376" t="s">
        <v>3271</v>
      </c>
      <c r="D42" s="621" t="s">
        <v>3547</v>
      </c>
      <c r="E42" s="1324">
        <v>5185122.7083131243</v>
      </c>
      <c r="F42" s="1325">
        <v>41046</v>
      </c>
      <c r="G42" s="1325">
        <f t="shared" si="9"/>
        <v>42325</v>
      </c>
      <c r="H42" s="1325">
        <v>43208</v>
      </c>
      <c r="I42" s="1325">
        <f t="shared" si="1"/>
        <v>883</v>
      </c>
      <c r="J42" s="1325">
        <f t="shared" si="6"/>
        <v>1003498.8167540797</v>
      </c>
      <c r="K42" s="1325">
        <f t="shared" si="10"/>
        <v>6188621.5250672037</v>
      </c>
      <c r="L42" s="1339">
        <v>5345343</v>
      </c>
      <c r="M42" s="1336">
        <f t="shared" si="3"/>
        <v>1034506.9301917809</v>
      </c>
      <c r="N42" s="1339">
        <v>5345341</v>
      </c>
      <c r="O42" s="1336">
        <f>VLOOKUP(C42,'[1]Interest as per us on payment b'!C46:D231,2,0)</f>
        <v>5345343</v>
      </c>
      <c r="P42" s="1339">
        <v>2351916.5957260276</v>
      </c>
      <c r="Q42" s="1339">
        <v>5345343</v>
      </c>
      <c r="R42" s="1336">
        <f t="shared" si="7"/>
        <v>5185122.7083131243</v>
      </c>
      <c r="S42" s="1336">
        <f t="shared" si="11"/>
        <v>7537039.3040391523</v>
      </c>
      <c r="T42" s="1350">
        <f t="shared" si="8"/>
        <v>0</v>
      </c>
      <c r="U42" s="1346"/>
      <c r="V42" s="1306"/>
    </row>
    <row r="43" spans="2:22">
      <c r="B43" s="1323">
        <v>38</v>
      </c>
      <c r="C43" s="1376" t="s">
        <v>3412</v>
      </c>
      <c r="D43" s="621" t="s">
        <v>3548</v>
      </c>
      <c r="E43" s="1324">
        <v>6615331.2639441267</v>
      </c>
      <c r="F43" s="1325">
        <v>41317</v>
      </c>
      <c r="G43" s="1325">
        <f t="shared" si="9"/>
        <v>42594</v>
      </c>
      <c r="H43" s="1325">
        <v>43208</v>
      </c>
      <c r="I43" s="1325">
        <f t="shared" si="1"/>
        <v>614</v>
      </c>
      <c r="J43" s="1325">
        <f t="shared" si="6"/>
        <v>890260.47036968626</v>
      </c>
      <c r="K43" s="1325">
        <f t="shared" si="10"/>
        <v>7505591.734313813</v>
      </c>
      <c r="L43" s="1339">
        <v>6831572</v>
      </c>
      <c r="M43" s="1336">
        <f t="shared" si="3"/>
        <v>919361.14147945202</v>
      </c>
      <c r="N43" s="1339">
        <v>6819745</v>
      </c>
      <c r="O43" s="1336">
        <f>VLOOKUP(C43,'[1]Interest as per us on payment b'!C47:D232,2,0)</f>
        <v>6831572</v>
      </c>
      <c r="P43" s="1339">
        <v>2760913.6284931507</v>
      </c>
      <c r="Q43" s="1339">
        <v>6831572</v>
      </c>
      <c r="R43" s="1336">
        <f t="shared" si="7"/>
        <v>6626803.7637016196</v>
      </c>
      <c r="S43" s="1336">
        <f t="shared" si="11"/>
        <v>9387717.3921947703</v>
      </c>
      <c r="T43" s="1350">
        <f t="shared" si="8"/>
        <v>0</v>
      </c>
      <c r="U43" s="1346"/>
      <c r="V43" s="1306"/>
    </row>
    <row r="44" spans="2:22">
      <c r="B44" s="1323">
        <v>39</v>
      </c>
      <c r="C44" s="1376" t="s">
        <v>3413</v>
      </c>
      <c r="D44" s="621" t="s">
        <v>3549</v>
      </c>
      <c r="E44" s="1324">
        <v>5698619.6527306233</v>
      </c>
      <c r="F44" s="1325">
        <v>41199</v>
      </c>
      <c r="G44" s="1325">
        <f t="shared" si="9"/>
        <v>42477</v>
      </c>
      <c r="H44" s="1325">
        <v>43208</v>
      </c>
      <c r="I44" s="1325">
        <f t="shared" si="1"/>
        <v>731</v>
      </c>
      <c r="J44" s="1325">
        <f t="shared" si="6"/>
        <v>913028.15696352557</v>
      </c>
      <c r="K44" s="1325">
        <f t="shared" si="10"/>
        <v>6611647.8096941486</v>
      </c>
      <c r="L44" s="1339">
        <v>6370724</v>
      </c>
      <c r="M44" s="1336">
        <f t="shared" si="3"/>
        <v>1020712.1630684931</v>
      </c>
      <c r="N44" s="1339">
        <v>5874707</v>
      </c>
      <c r="O44" s="1336">
        <f>VLOOKUP(C44,'[1]Interest as per us on payment b'!C48:D233,2,0)</f>
        <v>5874706</v>
      </c>
      <c r="P44" s="1339">
        <v>2582702.1306301365</v>
      </c>
      <c r="Q44" s="1339">
        <v>5874707</v>
      </c>
      <c r="R44" s="1336">
        <f t="shared" si="7"/>
        <v>5698619.6527306233</v>
      </c>
      <c r="S44" s="1336">
        <f t="shared" si="11"/>
        <v>8281321.7833607597</v>
      </c>
      <c r="T44" s="1350">
        <f t="shared" si="8"/>
        <v>496017</v>
      </c>
      <c r="U44" s="1346"/>
      <c r="V44" s="1306"/>
    </row>
    <row r="45" spans="2:22" ht="45">
      <c r="B45" s="1323">
        <v>40</v>
      </c>
      <c r="C45" s="1376" t="s">
        <v>3414</v>
      </c>
      <c r="D45" s="621" t="s">
        <v>3550</v>
      </c>
      <c r="E45" s="1324">
        <v>6856402.1728586666</v>
      </c>
      <c r="F45" s="1325">
        <v>41291</v>
      </c>
      <c r="G45" s="1325">
        <f t="shared" si="9"/>
        <v>42568</v>
      </c>
      <c r="H45" s="1325">
        <v>43208</v>
      </c>
      <c r="I45" s="1325">
        <f t="shared" si="1"/>
        <v>640</v>
      </c>
      <c r="J45" s="1325">
        <f t="shared" si="6"/>
        <v>961774.7705489418</v>
      </c>
      <c r="K45" s="1325">
        <f t="shared" si="10"/>
        <v>7818176.9434076082</v>
      </c>
      <c r="L45" s="1339">
        <v>7080632</v>
      </c>
      <c r="M45" s="1336">
        <f t="shared" si="3"/>
        <v>993228.37917808222</v>
      </c>
      <c r="N45" s="1339">
        <v>7068265</v>
      </c>
      <c r="O45" s="1336">
        <f>VLOOKUP(C45,'[1]Interest as per us on payment b'!C49:D234,2,0)</f>
        <v>7080631</v>
      </c>
      <c r="P45" s="1339">
        <v>2886276.1865205476</v>
      </c>
      <c r="Q45" s="1339">
        <v>7080632</v>
      </c>
      <c r="R45" s="1336">
        <f t="shared" si="7"/>
        <v>6868398.486759142</v>
      </c>
      <c r="S45" s="1336">
        <f t="shared" si="11"/>
        <v>9754674.6732796896</v>
      </c>
      <c r="T45" s="1350">
        <f t="shared" si="8"/>
        <v>0</v>
      </c>
      <c r="U45" s="1346"/>
      <c r="V45" s="1306"/>
    </row>
    <row r="46" spans="2:22">
      <c r="B46" s="1323">
        <v>41</v>
      </c>
      <c r="C46" s="1376" t="s">
        <v>3415</v>
      </c>
      <c r="D46" s="621" t="s">
        <v>3551</v>
      </c>
      <c r="E46" s="1324">
        <v>5865808.5168299545</v>
      </c>
      <c r="F46" s="1325">
        <v>40782</v>
      </c>
      <c r="G46" s="1325">
        <f t="shared" si="9"/>
        <v>42062</v>
      </c>
      <c r="H46" s="1325">
        <v>43208</v>
      </c>
      <c r="I46" s="1325">
        <f t="shared" si="1"/>
        <v>1146</v>
      </c>
      <c r="J46" s="1325">
        <f t="shared" si="6"/>
        <v>1473362.5337615623</v>
      </c>
      <c r="K46" s="1325">
        <f t="shared" si="10"/>
        <v>7339171.0505915172</v>
      </c>
      <c r="L46" s="1339">
        <v>6047061</v>
      </c>
      <c r="M46" s="1336">
        <f t="shared" si="3"/>
        <v>1518889.1848767123</v>
      </c>
      <c r="N46" s="1339">
        <v>6047062</v>
      </c>
      <c r="O46" s="1336">
        <f>VLOOKUP(C46,'[1]Interest as per us on payment b'!C50:D235,2,0)</f>
        <v>6047061</v>
      </c>
      <c r="P46" s="1339">
        <v>2588812.1635068497</v>
      </c>
      <c r="Q46" s="1339">
        <v>6047061</v>
      </c>
      <c r="R46" s="1336">
        <f t="shared" si="7"/>
        <v>5865807.5468037631</v>
      </c>
      <c r="S46" s="1336">
        <f t="shared" si="11"/>
        <v>8454619.7103106119</v>
      </c>
      <c r="T46" s="1350">
        <f t="shared" si="8"/>
        <v>0</v>
      </c>
      <c r="U46" s="1346"/>
      <c r="V46" s="1306"/>
    </row>
    <row r="47" spans="2:22">
      <c r="B47" s="1323">
        <v>42</v>
      </c>
      <c r="C47" s="1376" t="s">
        <v>3270</v>
      </c>
      <c r="D47" s="621" t="s">
        <v>3552</v>
      </c>
      <c r="E47" s="1324">
        <v>4231016.5874478612</v>
      </c>
      <c r="F47" s="1325">
        <v>40843</v>
      </c>
      <c r="G47" s="1325">
        <f t="shared" si="9"/>
        <v>42121</v>
      </c>
      <c r="H47" s="1325">
        <v>43208</v>
      </c>
      <c r="I47" s="1325">
        <f t="shared" si="1"/>
        <v>1087</v>
      </c>
      <c r="J47" s="1325">
        <f t="shared" si="6"/>
        <v>1008025.2121766192</v>
      </c>
      <c r="K47" s="1325">
        <f t="shared" si="10"/>
        <v>5239041.7996244803</v>
      </c>
      <c r="L47" s="1339">
        <v>4361755</v>
      </c>
      <c r="M47" s="1336">
        <f t="shared" si="3"/>
        <v>1039173.1912328769</v>
      </c>
      <c r="N47" s="1339">
        <v>4361755</v>
      </c>
      <c r="O47" s="1336">
        <f>VLOOKUP(C47,'[1]Interest as per us on payment b'!C51:D236,2,0)</f>
        <v>4361754</v>
      </c>
      <c r="P47" s="1339">
        <v>1855057.2997260273</v>
      </c>
      <c r="Q47" s="1339">
        <v>4361755</v>
      </c>
      <c r="R47" s="1336">
        <f t="shared" si="7"/>
        <v>4231016.5874478612</v>
      </c>
      <c r="S47" s="1336">
        <f t="shared" si="11"/>
        <v>6086073.8871738883</v>
      </c>
      <c r="T47" s="1350">
        <f t="shared" si="8"/>
        <v>0</v>
      </c>
      <c r="U47" s="1346"/>
      <c r="V47" s="1306"/>
    </row>
    <row r="48" spans="2:22">
      <c r="B48" s="1323">
        <v>43</v>
      </c>
      <c r="C48" s="1376" t="s">
        <v>3416</v>
      </c>
      <c r="D48" s="621" t="s">
        <v>3553</v>
      </c>
      <c r="E48" s="1324">
        <v>4957159.7633136092</v>
      </c>
      <c r="F48" s="1325">
        <v>40645</v>
      </c>
      <c r="G48" s="1325">
        <f t="shared" si="9"/>
        <v>41924</v>
      </c>
      <c r="H48" s="1325">
        <v>43208</v>
      </c>
      <c r="I48" s="1325">
        <f t="shared" si="1"/>
        <v>1284</v>
      </c>
      <c r="J48" s="1325">
        <f t="shared" si="6"/>
        <v>1395066.9887330795</v>
      </c>
      <c r="K48" s="1325">
        <f t="shared" si="10"/>
        <v>6352226.7520466885</v>
      </c>
      <c r="L48" s="1339">
        <v>5366378</v>
      </c>
      <c r="M48" s="1336">
        <f t="shared" si="3"/>
        <v>1510231.090849315</v>
      </c>
      <c r="N48" s="1339">
        <v>4835336</v>
      </c>
      <c r="O48" s="1336">
        <f>VLOOKUP(C48,'[1]Interest as per us on payment b'!C52:D237,2,0)</f>
        <v>5318872</v>
      </c>
      <c r="P48" s="1339">
        <v>2374183.9132054797</v>
      </c>
      <c r="Q48" s="1339">
        <v>5318872</v>
      </c>
      <c r="R48" s="1336">
        <f t="shared" si="7"/>
        <v>5159445.1450189156</v>
      </c>
      <c r="S48" s="1336">
        <f t="shared" si="11"/>
        <v>7533629.0582243949</v>
      </c>
      <c r="T48" s="1350">
        <f t="shared" si="8"/>
        <v>47506</v>
      </c>
      <c r="U48" s="1346" t="s">
        <v>3554</v>
      </c>
      <c r="V48" s="1306"/>
    </row>
    <row r="49" spans="2:22">
      <c r="B49" s="1323">
        <v>44</v>
      </c>
      <c r="C49" s="1376" t="s">
        <v>3269</v>
      </c>
      <c r="D49" s="621" t="s">
        <v>3555</v>
      </c>
      <c r="E49" s="1324">
        <v>5865808.5168299545</v>
      </c>
      <c r="F49" s="1325">
        <v>41309</v>
      </c>
      <c r="G49" s="1325">
        <f t="shared" si="9"/>
        <v>42586</v>
      </c>
      <c r="H49" s="1325">
        <v>43208</v>
      </c>
      <c r="I49" s="1325">
        <f t="shared" si="1"/>
        <v>622</v>
      </c>
      <c r="J49" s="1325">
        <f t="shared" si="6"/>
        <v>799678.44328070839</v>
      </c>
      <c r="K49" s="1325">
        <f t="shared" si="10"/>
        <v>6665486.9601106625</v>
      </c>
      <c r="L49" s="1339">
        <v>6047062</v>
      </c>
      <c r="M49" s="1336">
        <f t="shared" si="3"/>
        <v>824388.50717808225</v>
      </c>
      <c r="N49" s="1339">
        <v>6047062</v>
      </c>
      <c r="O49" s="1336">
        <f>VLOOKUP(C49,'[1]Interest as per us on payment b'!C53:D238,2,0)</f>
        <v>6047061</v>
      </c>
      <c r="P49" s="1339">
        <v>2657261.9798356164</v>
      </c>
      <c r="Q49" s="1339">
        <v>6047062</v>
      </c>
      <c r="R49" s="1336">
        <f t="shared" si="7"/>
        <v>5865808.5168299545</v>
      </c>
      <c r="S49" s="1336">
        <f t="shared" si="11"/>
        <v>8523070.4966655709</v>
      </c>
      <c r="T49" s="1350">
        <f t="shared" si="8"/>
        <v>0</v>
      </c>
      <c r="U49" s="1346"/>
      <c r="V49" s="1306"/>
    </row>
    <row r="50" spans="2:22" ht="30">
      <c r="B50" s="1323">
        <v>45</v>
      </c>
      <c r="C50" s="1376" t="s">
        <v>3417</v>
      </c>
      <c r="D50" s="621" t="s">
        <v>3556</v>
      </c>
      <c r="E50" s="1324">
        <v>7636227.5681443401</v>
      </c>
      <c r="F50" s="1325">
        <v>41151</v>
      </c>
      <c r="G50" s="1325">
        <f t="shared" si="9"/>
        <v>42429</v>
      </c>
      <c r="H50" s="1325">
        <v>43208</v>
      </c>
      <c r="I50" s="1325">
        <f t="shared" si="1"/>
        <v>779</v>
      </c>
      <c r="J50" s="1325">
        <f t="shared" si="6"/>
        <v>1303807.4028678227</v>
      </c>
      <c r="K50" s="1325">
        <f t="shared" si="10"/>
        <v>8940034.971012162</v>
      </c>
      <c r="L50" s="1339">
        <v>8272186</v>
      </c>
      <c r="M50" s="1336">
        <f t="shared" si="3"/>
        <v>1412390.7712876713</v>
      </c>
      <c r="N50" s="1339">
        <v>7872187</v>
      </c>
      <c r="O50" s="1336">
        <f>VLOOKUP(C50,'[1]Interest as per us on payment b'!C54:D239,2,0)</f>
        <v>7872187</v>
      </c>
      <c r="P50" s="1339">
        <v>3272901.1647123275</v>
      </c>
      <c r="Q50" s="1339">
        <v>7872187</v>
      </c>
      <c r="R50" s="1336">
        <f t="shared" si="7"/>
        <v>7636227.5681443401</v>
      </c>
      <c r="S50" s="1336">
        <f t="shared" si="11"/>
        <v>10909128.732856669</v>
      </c>
      <c r="T50" s="1350">
        <f t="shared" si="8"/>
        <v>399999</v>
      </c>
      <c r="U50" s="1346"/>
      <c r="V50" s="1306"/>
    </row>
    <row r="51" spans="2:22">
      <c r="B51" s="1323">
        <v>46</v>
      </c>
      <c r="C51" s="1376" t="s">
        <v>3233</v>
      </c>
      <c r="D51" s="621" t="s">
        <v>3557</v>
      </c>
      <c r="E51" s="1324">
        <v>6327936.7542923661</v>
      </c>
      <c r="F51" s="1325">
        <v>40645</v>
      </c>
      <c r="G51" s="1325">
        <f t="shared" si="9"/>
        <v>41924</v>
      </c>
      <c r="H51" s="1325">
        <v>43208</v>
      </c>
      <c r="I51" s="1325">
        <f t="shared" si="1"/>
        <v>1284</v>
      </c>
      <c r="J51" s="1325">
        <f t="shared" si="6"/>
        <v>1780837.433975101</v>
      </c>
      <c r="K51" s="1325">
        <f t="shared" si="10"/>
        <v>8108774.1882674675</v>
      </c>
      <c r="L51" s="1339">
        <v>6538475</v>
      </c>
      <c r="M51" s="1336">
        <f t="shared" si="3"/>
        <v>1840088.0876712329</v>
      </c>
      <c r="N51" s="1339">
        <v>6523470</v>
      </c>
      <c r="O51" s="1336">
        <f>VLOOKUP(C51,'[1]Interest as per us on payment b'!C55:D240,2,0)</f>
        <v>6523470</v>
      </c>
      <c r="P51" s="1339">
        <v>2865807.8323287671</v>
      </c>
      <c r="Q51" s="1339">
        <v>6523470</v>
      </c>
      <c r="R51" s="1336">
        <f t="shared" si="7"/>
        <v>6327936.7542923661</v>
      </c>
      <c r="S51" s="1336">
        <f t="shared" si="11"/>
        <v>9193744.5866211336</v>
      </c>
      <c r="T51" s="1350">
        <f t="shared" si="8"/>
        <v>15005</v>
      </c>
      <c r="U51" s="1346" t="s">
        <v>3558</v>
      </c>
      <c r="V51" s="1306"/>
    </row>
    <row r="52" spans="2:22">
      <c r="B52" s="1323">
        <v>47</v>
      </c>
      <c r="C52" s="1376" t="s">
        <v>3232</v>
      </c>
      <c r="D52" s="621" t="s">
        <v>3559</v>
      </c>
      <c r="E52" s="1324">
        <v>7559225.9190998152</v>
      </c>
      <c r="F52" s="1325">
        <v>41106</v>
      </c>
      <c r="G52" s="1325">
        <f t="shared" si="9"/>
        <v>42385</v>
      </c>
      <c r="H52" s="1325">
        <v>43208</v>
      </c>
      <c r="I52" s="1325">
        <f t="shared" si="1"/>
        <v>823</v>
      </c>
      <c r="J52" s="1325">
        <f t="shared" si="6"/>
        <v>1363560.0945576215</v>
      </c>
      <c r="K52" s="1325">
        <f t="shared" si="10"/>
        <v>8922786.0136574358</v>
      </c>
      <c r="L52" s="1339">
        <v>7440399.9900000002</v>
      </c>
      <c r="M52" s="1336">
        <f t="shared" si="3"/>
        <v>1342125.8502509589</v>
      </c>
      <c r="N52" s="1339">
        <v>7792805</v>
      </c>
      <c r="O52" s="1336">
        <f>VLOOKUP(C52,'[1]Interest as per us on payment b'!C56:D241,2,0)</f>
        <v>7792805</v>
      </c>
      <c r="P52" s="1339">
        <v>3211174.5435616439</v>
      </c>
      <c r="Q52" s="1339">
        <v>7440399.9900000002</v>
      </c>
      <c r="R52" s="1336">
        <f t="shared" si="7"/>
        <v>7217382.8596372101</v>
      </c>
      <c r="S52" s="1336">
        <f t="shared" si="11"/>
        <v>10428557.403198853</v>
      </c>
      <c r="T52" s="1350">
        <f t="shared" si="8"/>
        <v>0</v>
      </c>
      <c r="U52" s="1346" t="s">
        <v>3560</v>
      </c>
      <c r="V52" s="1306"/>
    </row>
    <row r="53" spans="2:22">
      <c r="B53" s="1323">
        <v>48</v>
      </c>
      <c r="C53" s="1376" t="s">
        <v>3231</v>
      </c>
      <c r="D53" s="621" t="s">
        <v>3561</v>
      </c>
      <c r="E53" s="1324">
        <v>5513096.3236007374</v>
      </c>
      <c r="F53" s="1325">
        <v>41158</v>
      </c>
      <c r="G53" s="1325">
        <f t="shared" si="9"/>
        <v>42435</v>
      </c>
      <c r="H53" s="1325">
        <v>43208</v>
      </c>
      <c r="I53" s="1325">
        <f t="shared" si="1"/>
        <v>773</v>
      </c>
      <c r="J53" s="1325">
        <f t="shared" si="6"/>
        <v>934054.45657936879</v>
      </c>
      <c r="K53" s="1325">
        <f t="shared" si="10"/>
        <v>6447150.7801801059</v>
      </c>
      <c r="L53" s="1339">
        <v>5704761</v>
      </c>
      <c r="M53" s="1336">
        <f t="shared" si="3"/>
        <v>966527.17873972596</v>
      </c>
      <c r="N53" s="1339">
        <v>5683451</v>
      </c>
      <c r="O53" s="1336">
        <f>VLOOKUP(C53,'[1]Interest as per us on payment b'!C57:D242,2,0)</f>
        <v>5704761</v>
      </c>
      <c r="P53" s="1339">
        <v>2509259.3806027402</v>
      </c>
      <c r="Q53" s="1339">
        <v>5704761</v>
      </c>
      <c r="R53" s="1336">
        <f t="shared" si="7"/>
        <v>5533767.5817247061</v>
      </c>
      <c r="S53" s="1336">
        <f t="shared" si="11"/>
        <v>8043026.9623274468</v>
      </c>
      <c r="T53" s="1350">
        <f t="shared" si="8"/>
        <v>0</v>
      </c>
      <c r="U53" s="1346"/>
      <c r="V53" s="1306"/>
    </row>
    <row r="54" spans="2:22">
      <c r="B54" s="1323">
        <v>49</v>
      </c>
      <c r="C54" s="1376" t="s">
        <v>3230</v>
      </c>
      <c r="D54" s="621" t="s">
        <v>3562</v>
      </c>
      <c r="E54" s="1324">
        <v>4076050.0533514405</v>
      </c>
      <c r="F54" s="1325">
        <v>40781</v>
      </c>
      <c r="G54" s="1325">
        <f t="shared" si="9"/>
        <v>42061</v>
      </c>
      <c r="H54" s="1325">
        <v>43208</v>
      </c>
      <c r="I54" s="1325">
        <f t="shared" si="1"/>
        <v>1147</v>
      </c>
      <c r="J54" s="1325">
        <f t="shared" si="6"/>
        <v>1024707.8161521319</v>
      </c>
      <c r="K54" s="1325">
        <f t="shared" si="10"/>
        <v>5100757.8695035726</v>
      </c>
      <c r="L54" s="1339">
        <v>4202000</v>
      </c>
      <c r="M54" s="1336">
        <f t="shared" si="3"/>
        <v>1056371.2876712328</v>
      </c>
      <c r="N54" s="1339">
        <v>4202000</v>
      </c>
      <c r="O54" s="1336">
        <f>VLOOKUP(C54,'[1]Interest as per us on payment b'!C58:D243,2,0)</f>
        <v>4202000</v>
      </c>
      <c r="P54" s="1339">
        <v>1922793.9726027397</v>
      </c>
      <c r="Q54" s="1339">
        <v>4202000</v>
      </c>
      <c r="R54" s="1336">
        <f t="shared" si="7"/>
        <v>4076050.0533514405</v>
      </c>
      <c r="S54" s="1336">
        <f t="shared" si="11"/>
        <v>5998844.0259541804</v>
      </c>
      <c r="T54" s="1350">
        <f t="shared" ref="T54:T80" si="12">+L54-Q54</f>
        <v>0</v>
      </c>
      <c r="U54" s="1346"/>
      <c r="V54" s="1306"/>
    </row>
    <row r="55" spans="2:22">
      <c r="B55" s="1323">
        <v>50</v>
      </c>
      <c r="C55" s="1376" t="s">
        <v>3229</v>
      </c>
      <c r="D55" s="621" t="s">
        <v>3563</v>
      </c>
      <c r="E55" s="1324">
        <v>8312541.4686196521</v>
      </c>
      <c r="F55" s="1325">
        <v>41373</v>
      </c>
      <c r="G55" s="1325">
        <f t="shared" si="9"/>
        <v>42652</v>
      </c>
      <c r="H55" s="1325">
        <v>43208</v>
      </c>
      <c r="I55" s="1325">
        <f t="shared" si="1"/>
        <v>556</v>
      </c>
      <c r="J55" s="1325">
        <f t="shared" si="6"/>
        <v>1012991.3548608278</v>
      </c>
      <c r="K55" s="1325">
        <f t="shared" si="10"/>
        <v>9325532.8234804794</v>
      </c>
      <c r="L55" s="1339">
        <v>8569399</v>
      </c>
      <c r="M55" s="1336">
        <f t="shared" si="3"/>
        <v>1044292.7877260274</v>
      </c>
      <c r="N55" s="1339">
        <v>8569399</v>
      </c>
      <c r="O55" s="1336">
        <f>VLOOKUP(C55,'[1]Interest as per us on payment b'!C59:D244,2,0)</f>
        <v>8569399</v>
      </c>
      <c r="P55" s="1339">
        <v>3372023.2797808219</v>
      </c>
      <c r="Q55" s="1339">
        <v>8569399</v>
      </c>
      <c r="R55" s="1336">
        <f t="shared" si="7"/>
        <v>8312541.4686196521</v>
      </c>
      <c r="S55" s="1336">
        <f t="shared" si="11"/>
        <v>11684564.748400474</v>
      </c>
      <c r="T55" s="1350">
        <f t="shared" si="12"/>
        <v>0</v>
      </c>
      <c r="U55" s="1346"/>
      <c r="V55" s="1306" t="s">
        <v>3564</v>
      </c>
    </row>
    <row r="56" spans="2:22">
      <c r="B56" s="1323">
        <v>51</v>
      </c>
      <c r="C56" s="1376" t="s">
        <v>3228</v>
      </c>
      <c r="D56" s="621" t="s">
        <v>3565</v>
      </c>
      <c r="E56" s="1324">
        <v>5513096.3236007374</v>
      </c>
      <c r="F56" s="1325">
        <v>40645</v>
      </c>
      <c r="G56" s="1325">
        <f t="shared" si="9"/>
        <v>41924</v>
      </c>
      <c r="H56" s="1325">
        <v>43208</v>
      </c>
      <c r="I56" s="1325">
        <f t="shared" si="1"/>
        <v>1284</v>
      </c>
      <c r="J56" s="1325">
        <f t="shared" si="6"/>
        <v>1551521.2448226514</v>
      </c>
      <c r="K56" s="1325">
        <f t="shared" si="10"/>
        <v>7064617.5684233885</v>
      </c>
      <c r="L56" s="1339">
        <v>5705023</v>
      </c>
      <c r="M56" s="1336">
        <f t="shared" si="3"/>
        <v>1605534.1440000003</v>
      </c>
      <c r="N56" s="1339">
        <v>5683451</v>
      </c>
      <c r="O56" s="1336">
        <f>VLOOKUP(C56,'[1]Interest as per us on payment b'!C60:D245,2,0)</f>
        <v>5683451</v>
      </c>
      <c r="P56" s="1339">
        <v>2452858.8543561641</v>
      </c>
      <c r="Q56" s="1339">
        <v>5683451</v>
      </c>
      <c r="R56" s="1336">
        <f t="shared" si="7"/>
        <v>5513096.3236007374</v>
      </c>
      <c r="S56" s="1336">
        <f t="shared" si="11"/>
        <v>7965955.1779569015</v>
      </c>
      <c r="T56" s="1350">
        <f t="shared" si="12"/>
        <v>21572</v>
      </c>
      <c r="U56" s="1346" t="s">
        <v>3558</v>
      </c>
      <c r="V56" s="1306" t="s">
        <v>3566</v>
      </c>
    </row>
    <row r="57" spans="2:22" ht="30">
      <c r="B57" s="1323">
        <v>52</v>
      </c>
      <c r="C57" s="1376" t="s">
        <v>3418</v>
      </c>
      <c r="D57" s="621" t="s">
        <v>3567</v>
      </c>
      <c r="E57" s="1324">
        <v>5852386.264429139</v>
      </c>
      <c r="F57" s="1325">
        <v>41092</v>
      </c>
      <c r="G57" s="1325">
        <f t="shared" si="9"/>
        <v>42371</v>
      </c>
      <c r="H57" s="1325">
        <v>43208</v>
      </c>
      <c r="I57" s="1325">
        <f t="shared" si="1"/>
        <v>837</v>
      </c>
      <c r="J57" s="1325">
        <f t="shared" si="6"/>
        <v>1073632.2856607537</v>
      </c>
      <c r="K57" s="1325">
        <f t="shared" si="10"/>
        <v>6926018.5500898929</v>
      </c>
      <c r="L57" s="1339">
        <v>6047062</v>
      </c>
      <c r="M57" s="1336">
        <f t="shared" si="3"/>
        <v>1109345.9493698631</v>
      </c>
      <c r="N57" s="1339">
        <v>6033225</v>
      </c>
      <c r="O57" s="1336">
        <f>VLOOKUP(C57,'[1]Interest as per us on payment b'!C61:D246,2,0)</f>
        <v>6033223</v>
      </c>
      <c r="P57" s="1339">
        <v>2555376.9012602735</v>
      </c>
      <c r="Q57" s="1339">
        <v>6033225</v>
      </c>
      <c r="R57" s="1336">
        <f t="shared" si="7"/>
        <v>5852386.264429139</v>
      </c>
      <c r="S57" s="1336">
        <f t="shared" si="11"/>
        <v>8407763.1656894125</v>
      </c>
      <c r="T57" s="1350">
        <f t="shared" si="12"/>
        <v>13837</v>
      </c>
      <c r="U57" s="1346" t="s">
        <v>3558</v>
      </c>
      <c r="V57" s="1306"/>
    </row>
    <row r="58" spans="2:22" ht="30">
      <c r="B58" s="1323">
        <v>53</v>
      </c>
      <c r="C58" s="1376" t="s">
        <v>3227</v>
      </c>
      <c r="D58" s="621" t="s">
        <v>3568</v>
      </c>
      <c r="E58" s="1324">
        <v>5988667.1840139683</v>
      </c>
      <c r="F58" s="1325">
        <v>41089</v>
      </c>
      <c r="G58" s="1325">
        <f t="shared" si="9"/>
        <v>42367</v>
      </c>
      <c r="H58" s="1325">
        <v>43208</v>
      </c>
      <c r="I58" s="1325">
        <f t="shared" si="1"/>
        <v>841</v>
      </c>
      <c r="J58" s="1325">
        <f t="shared" si="6"/>
        <v>1103883.6387409859</v>
      </c>
      <c r="K58" s="1325">
        <f t="shared" si="10"/>
        <v>7092550.822754954</v>
      </c>
      <c r="L58" s="1339">
        <v>6187246</v>
      </c>
      <c r="M58" s="1336">
        <f t="shared" si="3"/>
        <v>1140487.4270684931</v>
      </c>
      <c r="N58" s="1339">
        <v>6173717</v>
      </c>
      <c r="O58" s="1336">
        <f>VLOOKUP(C58,'[1]Interest as per us on payment b'!C62:D247,2,0)</f>
        <v>6173715</v>
      </c>
      <c r="P58" s="1339">
        <v>2754464.8236712329</v>
      </c>
      <c r="Q58" s="1339">
        <v>6173717</v>
      </c>
      <c r="R58" s="1336">
        <f t="shared" si="7"/>
        <v>5988667.1840139683</v>
      </c>
      <c r="S58" s="1336">
        <f t="shared" si="11"/>
        <v>8743132.0076852012</v>
      </c>
      <c r="T58" s="1350">
        <f t="shared" si="12"/>
        <v>13529</v>
      </c>
      <c r="U58" s="1346" t="s">
        <v>3558</v>
      </c>
      <c r="V58" s="1306"/>
    </row>
    <row r="59" spans="2:22" ht="30">
      <c r="B59" s="1323">
        <v>54</v>
      </c>
      <c r="C59" s="1376" t="s">
        <v>3419</v>
      </c>
      <c r="D59" s="621" t="s">
        <v>3569</v>
      </c>
      <c r="E59" s="1324">
        <v>5513033.2718983414</v>
      </c>
      <c r="F59" s="1325">
        <v>41106</v>
      </c>
      <c r="G59" s="1325">
        <f t="shared" si="9"/>
        <v>42385</v>
      </c>
      <c r="H59" s="1325">
        <v>43208</v>
      </c>
      <c r="I59" s="1325">
        <f t="shared" si="1"/>
        <v>823</v>
      </c>
      <c r="J59" s="1325">
        <f t="shared" si="6"/>
        <v>994460.57704599132</v>
      </c>
      <c r="K59" s="1325">
        <f t="shared" si="10"/>
        <v>6507493.8489443325</v>
      </c>
      <c r="L59" s="1339">
        <v>5683384</v>
      </c>
      <c r="M59" s="1336">
        <f t="shared" si="3"/>
        <v>1025189.048109589</v>
      </c>
      <c r="N59" s="1339">
        <v>5683386</v>
      </c>
      <c r="O59" s="1336">
        <f>VLOOKUP(C59,'[1]Interest as per us on payment b'!C63:D248,2,0)</f>
        <v>5683334</v>
      </c>
      <c r="P59" s="1339">
        <v>2598579.0235616434</v>
      </c>
      <c r="Q59" s="1339">
        <v>5683384</v>
      </c>
      <c r="R59" s="1336">
        <f t="shared" si="7"/>
        <v>5513031.3318459596</v>
      </c>
      <c r="S59" s="1336">
        <f t="shared" si="11"/>
        <v>8111610.3554076031</v>
      </c>
      <c r="T59" s="1350">
        <f t="shared" si="12"/>
        <v>0</v>
      </c>
      <c r="U59" s="1346"/>
      <c r="V59" s="1306"/>
    </row>
    <row r="60" spans="2:22">
      <c r="B60" s="1323">
        <v>55</v>
      </c>
      <c r="C60" s="1376" t="s">
        <v>3224</v>
      </c>
      <c r="D60" s="621" t="s">
        <v>3570</v>
      </c>
      <c r="E60" s="1324">
        <v>5613345.6203317484</v>
      </c>
      <c r="F60" s="1325">
        <v>40975</v>
      </c>
      <c r="G60" s="1325">
        <f t="shared" si="9"/>
        <v>42254</v>
      </c>
      <c r="H60" s="1325">
        <v>43208</v>
      </c>
      <c r="I60" s="1325">
        <f t="shared" si="1"/>
        <v>954</v>
      </c>
      <c r="J60" s="1325">
        <f t="shared" si="6"/>
        <v>1173727.5006677231</v>
      </c>
      <c r="K60" s="1325">
        <f t="shared" si="10"/>
        <v>6787073.1209994713</v>
      </c>
      <c r="L60" s="1339">
        <v>5786798</v>
      </c>
      <c r="M60" s="1336">
        <f t="shared" si="3"/>
        <v>1209995.6804383562</v>
      </c>
      <c r="N60" s="1339">
        <v>5786798</v>
      </c>
      <c r="O60" s="1336">
        <f>VLOOKUP(C60,'[1]Interest as per us on payment b'!C64:D249,2,0)</f>
        <v>5786798</v>
      </c>
      <c r="P60" s="1339">
        <v>2514495.7663561637</v>
      </c>
      <c r="Q60" s="1339">
        <v>5786798</v>
      </c>
      <c r="R60" s="1336">
        <f t="shared" si="7"/>
        <v>5613345.6203317484</v>
      </c>
      <c r="S60" s="1336">
        <f t="shared" si="11"/>
        <v>8127841.386687912</v>
      </c>
      <c r="T60" s="1350">
        <f t="shared" si="12"/>
        <v>0</v>
      </c>
      <c r="U60" s="1346"/>
      <c r="V60" s="1306"/>
    </row>
    <row r="61" spans="2:22">
      <c r="B61" s="1323">
        <v>56</v>
      </c>
      <c r="C61" s="1376" t="s">
        <v>3420</v>
      </c>
      <c r="D61" s="621" t="s">
        <v>3571</v>
      </c>
      <c r="E61" s="1324">
        <v>5513032.30187215</v>
      </c>
      <c r="F61" s="1325">
        <v>41139</v>
      </c>
      <c r="G61" s="1325">
        <f t="shared" si="9"/>
        <v>42418</v>
      </c>
      <c r="H61" s="1325">
        <v>43208</v>
      </c>
      <c r="I61" s="1325">
        <f t="shared" si="1"/>
        <v>790</v>
      </c>
      <c r="J61" s="1325">
        <f t="shared" si="6"/>
        <v>954585.31911868451</v>
      </c>
      <c r="K61" s="1325">
        <f t="shared" si="10"/>
        <v>6467617.6209908342</v>
      </c>
      <c r="L61" s="1339">
        <v>5684630</v>
      </c>
      <c r="M61" s="1336">
        <f t="shared" si="3"/>
        <v>984297.57808219176</v>
      </c>
      <c r="N61" s="1339">
        <v>5683385</v>
      </c>
      <c r="O61" s="1336">
        <f>VLOOKUP(C61,'[1]Interest as per us on payment b'!C65:D250,2,0)</f>
        <v>5683864</v>
      </c>
      <c r="P61" s="1339">
        <v>2621103.4899726026</v>
      </c>
      <c r="Q61" s="1339">
        <v>5683864</v>
      </c>
      <c r="R61" s="1336">
        <f t="shared" si="7"/>
        <v>5513496.944417499</v>
      </c>
      <c r="S61" s="1336">
        <f t="shared" si="11"/>
        <v>8134600.4343901016</v>
      </c>
      <c r="T61" s="1350">
        <f t="shared" si="12"/>
        <v>766</v>
      </c>
      <c r="U61" s="1346"/>
      <c r="V61" s="1306"/>
    </row>
    <row r="62" spans="2:22" ht="30">
      <c r="B62" s="1323">
        <v>57</v>
      </c>
      <c r="C62" s="1376" t="s">
        <v>3225</v>
      </c>
      <c r="D62" s="621" t="s">
        <v>3572</v>
      </c>
      <c r="E62" s="1324">
        <v>7502004.0741100004</v>
      </c>
      <c r="F62" s="1325">
        <v>40968</v>
      </c>
      <c r="G62" s="1325">
        <f t="shared" si="9"/>
        <v>42245</v>
      </c>
      <c r="H62" s="1325">
        <v>43208</v>
      </c>
      <c r="I62" s="1325">
        <f t="shared" si="1"/>
        <v>963</v>
      </c>
      <c r="J62" s="1325">
        <f t="shared" si="6"/>
        <v>1583436.695532697</v>
      </c>
      <c r="K62" s="1325">
        <f t="shared" si="10"/>
        <v>9085440.7696426976</v>
      </c>
      <c r="L62" s="1339">
        <v>7733816</v>
      </c>
      <c r="M62" s="1336">
        <f t="shared" si="3"/>
        <v>1632364.8894246577</v>
      </c>
      <c r="N62" s="1339">
        <v>7733816</v>
      </c>
      <c r="O62" s="1336">
        <f>VLOOKUP(C62,'[1]Interest as per us on payment b'!C66:D251,2,0)</f>
        <v>7733816</v>
      </c>
      <c r="P62" s="1339">
        <v>3457320.9740273971</v>
      </c>
      <c r="Q62" s="1339">
        <v>7733816</v>
      </c>
      <c r="R62" s="1336">
        <f t="shared" si="7"/>
        <v>7502004.0741100004</v>
      </c>
      <c r="S62" s="1336">
        <f t="shared" si="11"/>
        <v>10959325.048137397</v>
      </c>
      <c r="T62" s="1350">
        <f t="shared" si="12"/>
        <v>0</v>
      </c>
      <c r="U62" s="1346" t="s">
        <v>3573</v>
      </c>
      <c r="V62" s="1306"/>
    </row>
    <row r="63" spans="2:22">
      <c r="B63" s="1323">
        <v>58</v>
      </c>
      <c r="C63" s="1376" t="s">
        <v>3421</v>
      </c>
      <c r="D63" s="621" t="s">
        <v>3574</v>
      </c>
      <c r="E63" s="1324">
        <v>3589368.5129498495</v>
      </c>
      <c r="F63" s="1325">
        <v>41052</v>
      </c>
      <c r="G63" s="1325">
        <f t="shared" si="9"/>
        <v>42331</v>
      </c>
      <c r="H63" s="1325">
        <v>43208</v>
      </c>
      <c r="I63" s="1325">
        <f t="shared" si="1"/>
        <v>877</v>
      </c>
      <c r="J63" s="1325">
        <f t="shared" si="6"/>
        <v>689945.46539331903</v>
      </c>
      <c r="K63" s="1325">
        <f t="shared" si="10"/>
        <v>4279313.9783431683</v>
      </c>
      <c r="L63" s="1339">
        <v>3820230</v>
      </c>
      <c r="M63" s="1336">
        <f t="shared" si="3"/>
        <v>734321.4706849315</v>
      </c>
      <c r="N63" s="1339">
        <v>3700280</v>
      </c>
      <c r="O63" s="1336">
        <f>VLOOKUP(C63,'[1]Interest as per us on payment b'!C67:D252,2,0)</f>
        <v>3700280</v>
      </c>
      <c r="P63" s="1339">
        <v>1687635.84</v>
      </c>
      <c r="Q63" s="1339">
        <v>3700280</v>
      </c>
      <c r="R63" s="1336">
        <f t="shared" si="7"/>
        <v>3589368.5129498495</v>
      </c>
      <c r="S63" s="1336">
        <f t="shared" si="11"/>
        <v>5277004.3529498493</v>
      </c>
      <c r="T63" s="1350">
        <f t="shared" si="12"/>
        <v>119950</v>
      </c>
      <c r="U63" s="1346" t="s">
        <v>3575</v>
      </c>
      <c r="V63" s="1306"/>
    </row>
    <row r="64" spans="2:22" ht="30">
      <c r="B64" s="1323">
        <v>59</v>
      </c>
      <c r="C64" s="1376" t="s">
        <v>3422</v>
      </c>
      <c r="D64" s="621" t="s">
        <v>3576</v>
      </c>
      <c r="E64" s="1324">
        <v>4309090.1154331164</v>
      </c>
      <c r="F64" s="1325">
        <v>41036</v>
      </c>
      <c r="G64" s="1325">
        <f t="shared" si="9"/>
        <v>42315</v>
      </c>
      <c r="H64" s="1325">
        <v>43208</v>
      </c>
      <c r="I64" s="1325">
        <f t="shared" si="1"/>
        <v>893</v>
      </c>
      <c r="J64" s="1325">
        <f t="shared" si="6"/>
        <v>843401.08999052562</v>
      </c>
      <c r="K64" s="1325">
        <f t="shared" si="10"/>
        <v>5152491.2054236419</v>
      </c>
      <c r="L64" s="1339">
        <v>4442279</v>
      </c>
      <c r="M64" s="1336">
        <f t="shared" si="3"/>
        <v>869469.62126027397</v>
      </c>
      <c r="N64" s="1339">
        <v>4442281</v>
      </c>
      <c r="O64" s="1336">
        <f>VLOOKUP(C64,'[1]Interest as per us on payment b'!C68:D253,2,0)</f>
        <v>4442281</v>
      </c>
      <c r="P64" s="1339">
        <v>1953464.4113972601</v>
      </c>
      <c r="Q64" s="1339">
        <v>4442279</v>
      </c>
      <c r="R64" s="1336">
        <f t="shared" si="7"/>
        <v>4309126.9764283635</v>
      </c>
      <c r="S64" s="1336">
        <f t="shared" si="11"/>
        <v>6262591.3878256232</v>
      </c>
      <c r="T64" s="1350">
        <f t="shared" si="12"/>
        <v>0</v>
      </c>
      <c r="U64" s="1346"/>
      <c r="V64" s="1306"/>
    </row>
    <row r="65" spans="2:22" ht="30">
      <c r="B65" s="1323">
        <v>60</v>
      </c>
      <c r="C65" s="1377" t="s">
        <v>3793</v>
      </c>
      <c r="D65" s="621" t="s">
        <v>3577</v>
      </c>
      <c r="E65" s="1324">
        <v>7286729.0716849351</v>
      </c>
      <c r="F65" s="1325">
        <v>41122</v>
      </c>
      <c r="G65" s="1325">
        <f t="shared" si="9"/>
        <v>42401</v>
      </c>
      <c r="H65" s="1325">
        <v>43208</v>
      </c>
      <c r="I65" s="1325">
        <f t="shared" si="1"/>
        <v>807</v>
      </c>
      <c r="J65" s="1325">
        <f t="shared" si="6"/>
        <v>1288852.6818300807</v>
      </c>
      <c r="K65" s="1325">
        <f t="shared" si="10"/>
        <v>8575581.7535150163</v>
      </c>
      <c r="L65" s="1339">
        <v>7528944</v>
      </c>
      <c r="M65" s="1336">
        <f t="shared" si="3"/>
        <v>1331694.8620273974</v>
      </c>
      <c r="N65" s="1339">
        <v>7511889</v>
      </c>
      <c r="O65" s="1336">
        <f>VLOOKUP(C65,'[1]Interest as per us on payment b'!C69:D254,2,0)</f>
        <v>7511888</v>
      </c>
      <c r="P65" s="1339">
        <v>3136629.7838904113</v>
      </c>
      <c r="Q65" s="1339">
        <v>7511889</v>
      </c>
      <c r="R65" s="1336">
        <f t="shared" si="7"/>
        <v>7286729.0716849351</v>
      </c>
      <c r="S65" s="1336">
        <f t="shared" si="11"/>
        <v>10423358.855575345</v>
      </c>
      <c r="T65" s="1350">
        <f t="shared" si="12"/>
        <v>17055</v>
      </c>
      <c r="U65" s="1346" t="s">
        <v>3578</v>
      </c>
      <c r="V65" s="1306"/>
    </row>
    <row r="66" spans="2:22">
      <c r="B66" s="1323">
        <v>61</v>
      </c>
      <c r="C66" s="1376" t="s">
        <v>3226</v>
      </c>
      <c r="D66" s="621" t="s">
        <v>3579</v>
      </c>
      <c r="E66" s="1324">
        <v>5011588.9029003782</v>
      </c>
      <c r="F66" s="1325">
        <v>41318</v>
      </c>
      <c r="G66" s="1325">
        <f t="shared" si="9"/>
        <v>42595</v>
      </c>
      <c r="H66" s="1325">
        <v>43208</v>
      </c>
      <c r="I66" s="1325">
        <f t="shared" si="1"/>
        <v>613</v>
      </c>
      <c r="J66" s="1325">
        <f t="shared" si="6"/>
        <v>673337.86246091651</v>
      </c>
      <c r="K66" s="1325">
        <f t="shared" si="10"/>
        <v>5684926.7653612951</v>
      </c>
      <c r="L66" s="1339">
        <v>5194070</v>
      </c>
      <c r="M66" s="1336">
        <f t="shared" si="3"/>
        <v>697855.32273972605</v>
      </c>
      <c r="N66" s="1339">
        <v>5166447</v>
      </c>
      <c r="O66" s="1336">
        <f>VLOOKUP(C66,'[1]Interest as per us on payment b'!C70:D255,2,0)</f>
        <v>5166447</v>
      </c>
      <c r="P66" s="1339">
        <v>2327655.5416986304</v>
      </c>
      <c r="Q66" s="1339">
        <v>5166447</v>
      </c>
      <c r="R66" s="1336">
        <f t="shared" si="7"/>
        <v>5011588.9029003782</v>
      </c>
      <c r="S66" s="1336">
        <f t="shared" si="11"/>
        <v>7339244.4445990082</v>
      </c>
      <c r="T66" s="1350">
        <f t="shared" si="12"/>
        <v>27623</v>
      </c>
      <c r="U66" s="1346" t="s">
        <v>3573</v>
      </c>
      <c r="V66" s="1306"/>
    </row>
    <row r="67" spans="2:22">
      <c r="B67" s="1323">
        <v>62</v>
      </c>
      <c r="C67" s="1376" t="s">
        <v>3223</v>
      </c>
      <c r="D67" s="621" t="s">
        <v>3580</v>
      </c>
      <c r="E67" s="1324">
        <v>7084789.0193035211</v>
      </c>
      <c r="F67" s="1325">
        <v>41076</v>
      </c>
      <c r="G67" s="1325">
        <f t="shared" si="9"/>
        <v>42354</v>
      </c>
      <c r="H67" s="1325">
        <v>43208</v>
      </c>
      <c r="I67" s="1325">
        <f t="shared" si="1"/>
        <v>854</v>
      </c>
      <c r="J67" s="1325">
        <f t="shared" si="6"/>
        <v>1326117.2213666206</v>
      </c>
      <c r="K67" s="1325">
        <f t="shared" si="10"/>
        <v>8410906.2406701408</v>
      </c>
      <c r="L67" s="1339">
        <v>7303874</v>
      </c>
      <c r="M67" s="1336">
        <f t="shared" si="3"/>
        <v>1367125.1278904111</v>
      </c>
      <c r="N67" s="1339">
        <v>7303709</v>
      </c>
      <c r="O67" s="1336">
        <f>VLOOKUP(C67,'[1]Interest as per us on payment b'!C71:D256,2,0)</f>
        <v>7303910</v>
      </c>
      <c r="P67" s="1339">
        <v>3166202.7574794521</v>
      </c>
      <c r="Q67" s="1339">
        <v>7303874</v>
      </c>
      <c r="R67" s="1336">
        <f t="shared" si="7"/>
        <v>7084949.0736249881</v>
      </c>
      <c r="S67" s="1336">
        <f t="shared" si="11"/>
        <v>10251151.831104441</v>
      </c>
      <c r="T67" s="1350">
        <f t="shared" si="12"/>
        <v>0</v>
      </c>
      <c r="U67" s="1346"/>
      <c r="V67" s="1306"/>
    </row>
    <row r="68" spans="2:22" ht="30">
      <c r="B68" s="1323">
        <v>63</v>
      </c>
      <c r="C68" s="1376" t="s">
        <v>3222</v>
      </c>
      <c r="D68" s="621" t="s">
        <v>3581</v>
      </c>
      <c r="E68" s="1324">
        <v>5456896.886215928</v>
      </c>
      <c r="F68" s="1325">
        <v>41151</v>
      </c>
      <c r="G68" s="1325">
        <f t="shared" si="9"/>
        <v>42429</v>
      </c>
      <c r="H68" s="1325">
        <v>43208</v>
      </c>
      <c r="I68" s="1325">
        <f t="shared" si="1"/>
        <v>779</v>
      </c>
      <c r="J68" s="1325">
        <f t="shared" si="6"/>
        <v>931709.07931226469</v>
      </c>
      <c r="K68" s="1325">
        <f t="shared" si="10"/>
        <v>6388605.9655281929</v>
      </c>
      <c r="L68" s="1339">
        <v>5643508</v>
      </c>
      <c r="M68" s="1336">
        <f t="shared" si="3"/>
        <v>963571.00975342467</v>
      </c>
      <c r="N68" s="1339">
        <v>5625515</v>
      </c>
      <c r="O68" s="1336">
        <f>VLOOKUP(C68,'[1]Interest as per us on payment b'!C72:D257,2,0)</f>
        <v>5625514</v>
      </c>
      <c r="P68" s="1339">
        <v>2457904.5448767124</v>
      </c>
      <c r="Q68" s="1339">
        <v>5625515</v>
      </c>
      <c r="R68" s="1336">
        <f t="shared" si="7"/>
        <v>5456896.886215928</v>
      </c>
      <c r="S68" s="1336">
        <f t="shared" si="11"/>
        <v>7914801.4310926404</v>
      </c>
      <c r="T68" s="1350">
        <f t="shared" si="12"/>
        <v>17993</v>
      </c>
      <c r="U68" s="1346" t="s">
        <v>3573</v>
      </c>
      <c r="V68" s="1306"/>
    </row>
    <row r="69" spans="2:22">
      <c r="B69" s="1323">
        <v>64</v>
      </c>
      <c r="C69" s="1376" t="s">
        <v>3221</v>
      </c>
      <c r="D69" s="621" t="s">
        <v>3582</v>
      </c>
      <c r="E69" s="1324">
        <v>6707689.3976137349</v>
      </c>
      <c r="F69" s="1325">
        <v>41151</v>
      </c>
      <c r="G69" s="1325">
        <f t="shared" si="9"/>
        <v>42429</v>
      </c>
      <c r="H69" s="1325">
        <v>43208</v>
      </c>
      <c r="I69" s="1325">
        <f t="shared" si="1"/>
        <v>779</v>
      </c>
      <c r="J69" s="1325">
        <f t="shared" si="6"/>
        <v>1145269.0500254466</v>
      </c>
      <c r="K69" s="1325">
        <f t="shared" si="10"/>
        <v>7852958.4476391813</v>
      </c>
      <c r="L69" s="1339">
        <v>6914956</v>
      </c>
      <c r="M69" s="1336">
        <f t="shared" si="3"/>
        <v>1180657.6929315068</v>
      </c>
      <c r="N69" s="1339">
        <v>6914957</v>
      </c>
      <c r="O69" s="1336">
        <f>VLOOKUP(C69,'[1]Interest as per us on payment b'!C73:D258,2,0)</f>
        <v>6914955</v>
      </c>
      <c r="P69" s="1339">
        <v>2939899.9916712325</v>
      </c>
      <c r="Q69" s="1339">
        <v>6914956</v>
      </c>
      <c r="R69" s="1336">
        <f t="shared" si="7"/>
        <v>6707688.4275875445</v>
      </c>
      <c r="S69" s="1336">
        <f t="shared" si="11"/>
        <v>9647588.4192587771</v>
      </c>
      <c r="T69" s="1350">
        <f t="shared" si="12"/>
        <v>0</v>
      </c>
      <c r="U69" s="1346"/>
      <c r="V69" s="1306"/>
    </row>
    <row r="70" spans="2:22">
      <c r="B70" s="1323">
        <v>65</v>
      </c>
      <c r="C70" s="1376" t="s">
        <v>3423</v>
      </c>
      <c r="D70" s="621" t="s">
        <v>3583</v>
      </c>
      <c r="E70" s="1324">
        <v>5286930.837132602</v>
      </c>
      <c r="F70" s="1325">
        <v>41057</v>
      </c>
      <c r="G70" s="1325">
        <f t="shared" si="9"/>
        <v>42336</v>
      </c>
      <c r="H70" s="1325">
        <v>43208</v>
      </c>
      <c r="I70" s="1325">
        <f t="shared" ref="I70:I103" si="13">H70-G70</f>
        <v>872</v>
      </c>
      <c r="J70" s="1325">
        <f t="shared" si="6"/>
        <v>1010455.6032832064</v>
      </c>
      <c r="K70" s="1325">
        <f t="shared" si="10"/>
        <v>6297386.440415808</v>
      </c>
      <c r="L70" s="1339">
        <v>5454078</v>
      </c>
      <c r="M70" s="1336">
        <f t="shared" ref="M70:M133" si="14">+L70*8/100/365*I70</f>
        <v>1042401.3185753423</v>
      </c>
      <c r="N70" s="1339">
        <v>5450297</v>
      </c>
      <c r="O70" s="1336">
        <f>VLOOKUP(C70,'[1]Interest as per us on payment b'!C74:D259,2,0)</f>
        <v>5450287</v>
      </c>
      <c r="P70" s="1339">
        <v>2134850.5654794523</v>
      </c>
      <c r="Q70" s="1339">
        <v>5450297</v>
      </c>
      <c r="R70" s="1336">
        <f t="shared" si="7"/>
        <v>5286930.837132602</v>
      </c>
      <c r="S70" s="1336">
        <f t="shared" ref="S70:S101" si="15">+R70+P70</f>
        <v>7421781.4026120547</v>
      </c>
      <c r="T70" s="1350">
        <f t="shared" si="12"/>
        <v>3781</v>
      </c>
      <c r="U70" s="1346" t="s">
        <v>3573</v>
      </c>
      <c r="V70" s="1306"/>
    </row>
    <row r="71" spans="2:22">
      <c r="B71" s="1323">
        <v>66</v>
      </c>
      <c r="C71" s="1376" t="s">
        <v>3220</v>
      </c>
      <c r="D71" s="621" t="s">
        <v>3584</v>
      </c>
      <c r="E71" s="1324">
        <v>6109435.444757008</v>
      </c>
      <c r="F71" s="1325">
        <v>41162</v>
      </c>
      <c r="G71" s="1325">
        <f t="shared" si="9"/>
        <v>42439</v>
      </c>
      <c r="H71" s="1325">
        <v>43208</v>
      </c>
      <c r="I71" s="1325">
        <f t="shared" si="13"/>
        <v>769</v>
      </c>
      <c r="J71" s="1325">
        <f t="shared" ref="J71:J103" si="16">E71*8/100/365*I71</f>
        <v>1029732.7905793181</v>
      </c>
      <c r="K71" s="1325">
        <f t="shared" si="10"/>
        <v>7139168.2353363261</v>
      </c>
      <c r="L71" s="1339">
        <v>6298217</v>
      </c>
      <c r="M71" s="1336">
        <f t="shared" si="14"/>
        <v>1061551.5338082192</v>
      </c>
      <c r="N71" s="1339">
        <v>6298217</v>
      </c>
      <c r="O71" s="1336">
        <f>VLOOKUP(C71,'[1]Interest as per us on payment b'!C75:D260,2,0)</f>
        <v>6298217</v>
      </c>
      <c r="P71" s="1339">
        <v>2817340.090958904</v>
      </c>
      <c r="Q71" s="1339">
        <v>6298217</v>
      </c>
      <c r="R71" s="1336">
        <f t="shared" ref="R71:R134" si="17">+Q71*100/103.09</f>
        <v>6109435.444757008</v>
      </c>
      <c r="S71" s="1336">
        <f t="shared" si="15"/>
        <v>8926775.5357159115</v>
      </c>
      <c r="T71" s="1350">
        <f t="shared" si="12"/>
        <v>0</v>
      </c>
      <c r="U71" s="1346"/>
      <c r="V71" s="1306"/>
    </row>
    <row r="72" spans="2:22" ht="30">
      <c r="B72" s="1323">
        <v>67</v>
      </c>
      <c r="C72" s="1376" t="s">
        <v>3424</v>
      </c>
      <c r="D72" s="621" t="s">
        <v>3585</v>
      </c>
      <c r="E72" s="1324">
        <v>6258008.5362304784</v>
      </c>
      <c r="F72" s="1325">
        <v>41011</v>
      </c>
      <c r="G72" s="1325">
        <f t="shared" si="9"/>
        <v>42289</v>
      </c>
      <c r="H72" s="1325">
        <v>43208</v>
      </c>
      <c r="I72" s="1325">
        <f t="shared" si="13"/>
        <v>919</v>
      </c>
      <c r="J72" s="1325">
        <f t="shared" si="16"/>
        <v>1260517.2262566159</v>
      </c>
      <c r="K72" s="1325">
        <f t="shared" si="10"/>
        <v>7518525.7624870948</v>
      </c>
      <c r="L72" s="1339">
        <v>6452381</v>
      </c>
      <c r="M72" s="1336">
        <f t="shared" si="14"/>
        <v>1299668.6332054795</v>
      </c>
      <c r="N72" s="1339">
        <v>6451381</v>
      </c>
      <c r="O72" s="1336">
        <f>VLOOKUP(C72,'[1]Interest as per us on payment b'!C76:D261,2,0)</f>
        <v>6451381</v>
      </c>
      <c r="P72" s="1339">
        <v>2825973.7803835622</v>
      </c>
      <c r="Q72" s="1339">
        <v>6452381</v>
      </c>
      <c r="R72" s="1336">
        <f t="shared" si="17"/>
        <v>6258978.562421185</v>
      </c>
      <c r="S72" s="1336">
        <f t="shared" si="15"/>
        <v>9084952.3428047467</v>
      </c>
      <c r="T72" s="1350">
        <f t="shared" si="12"/>
        <v>0</v>
      </c>
      <c r="U72" s="1346"/>
      <c r="V72" s="1306"/>
    </row>
    <row r="73" spans="2:22" ht="30">
      <c r="B73" s="1323">
        <v>68</v>
      </c>
      <c r="C73" s="1376" t="s">
        <v>3219</v>
      </c>
      <c r="D73" s="621" t="s">
        <v>3586</v>
      </c>
      <c r="E73" s="1324">
        <v>5476364.3418372292</v>
      </c>
      <c r="F73" s="1325">
        <v>41046</v>
      </c>
      <c r="G73" s="1325">
        <f t="shared" si="9"/>
        <v>42325</v>
      </c>
      <c r="H73" s="1325">
        <v>43208</v>
      </c>
      <c r="I73" s="1325">
        <f t="shared" si="13"/>
        <v>883</v>
      </c>
      <c r="J73" s="1325">
        <f t="shared" si="16"/>
        <v>1059864.0468695392</v>
      </c>
      <c r="K73" s="1325">
        <f t="shared" si="10"/>
        <v>6536228.3887067679</v>
      </c>
      <c r="L73" s="1339">
        <v>5658568</v>
      </c>
      <c r="M73" s="1336">
        <f t="shared" si="14"/>
        <v>1095126.6945753423</v>
      </c>
      <c r="N73" s="1339">
        <v>5645584</v>
      </c>
      <c r="O73" s="1336">
        <f>VLOOKUP(C73,'[1]Interest as per us on payment b'!C77:D262,2,0)</f>
        <v>5645584</v>
      </c>
      <c r="P73" s="1339">
        <v>2554189.8588493159</v>
      </c>
      <c r="Q73" s="1339">
        <v>5645584</v>
      </c>
      <c r="R73" s="1336">
        <f t="shared" si="17"/>
        <v>5476364.3418372292</v>
      </c>
      <c r="S73" s="1336">
        <f t="shared" si="15"/>
        <v>8030554.2006865451</v>
      </c>
      <c r="T73" s="1350">
        <f t="shared" si="12"/>
        <v>12984</v>
      </c>
      <c r="U73" s="1346" t="s">
        <v>3558</v>
      </c>
      <c r="V73" s="1306"/>
    </row>
    <row r="74" spans="2:22">
      <c r="B74" s="1323">
        <v>69</v>
      </c>
      <c r="C74" s="1376" t="s">
        <v>3218</v>
      </c>
      <c r="D74" s="621" t="s">
        <v>3587</v>
      </c>
      <c r="E74" s="1324">
        <v>6918812.6879425738</v>
      </c>
      <c r="F74" s="1325">
        <v>41150</v>
      </c>
      <c r="G74" s="1325">
        <f t="shared" si="9"/>
        <v>42429</v>
      </c>
      <c r="H74" s="1325">
        <v>43208</v>
      </c>
      <c r="I74" s="1325">
        <f t="shared" si="13"/>
        <v>779</v>
      </c>
      <c r="J74" s="1325">
        <f t="shared" si="16"/>
        <v>1181316.182774195</v>
      </c>
      <c r="K74" s="1325">
        <f t="shared" si="10"/>
        <v>8100128.8707167692</v>
      </c>
      <c r="L74" s="1339">
        <v>7132604</v>
      </c>
      <c r="M74" s="1336">
        <f t="shared" si="14"/>
        <v>1217818.8528219177</v>
      </c>
      <c r="N74" s="1339">
        <v>7132604</v>
      </c>
      <c r="O74" s="1336">
        <f>VLOOKUP(C74,'[1]Interest as per us on payment b'!C78:D263,2,0)</f>
        <v>7132604</v>
      </c>
      <c r="P74" s="1339">
        <v>2966616.1516712331</v>
      </c>
      <c r="Q74" s="1339">
        <v>7132604</v>
      </c>
      <c r="R74" s="1336">
        <f t="shared" si="17"/>
        <v>6918812.6879425738</v>
      </c>
      <c r="S74" s="1336">
        <f t="shared" si="15"/>
        <v>9885428.8396138065</v>
      </c>
      <c r="T74" s="1350">
        <f t="shared" si="12"/>
        <v>0</v>
      </c>
      <c r="U74" s="1346"/>
      <c r="V74" s="1306"/>
    </row>
    <row r="75" spans="2:22">
      <c r="B75" s="1323">
        <v>70</v>
      </c>
      <c r="C75" s="1376" t="s">
        <v>3217</v>
      </c>
      <c r="D75" s="621" t="s">
        <v>3588</v>
      </c>
      <c r="E75" s="1324">
        <v>4848295.6639829278</v>
      </c>
      <c r="F75" s="1325">
        <v>40653</v>
      </c>
      <c r="G75" s="1325">
        <f t="shared" si="9"/>
        <v>41932</v>
      </c>
      <c r="H75" s="1325">
        <v>43208</v>
      </c>
      <c r="I75" s="1325">
        <f t="shared" si="13"/>
        <v>1276</v>
      </c>
      <c r="J75" s="1325">
        <f t="shared" si="16"/>
        <v>1355928.825696924</v>
      </c>
      <c r="K75" s="1325">
        <f t="shared" si="10"/>
        <v>6204224.4896798516</v>
      </c>
      <c r="L75" s="1339">
        <v>5009756</v>
      </c>
      <c r="M75" s="1336">
        <f t="shared" si="14"/>
        <v>1401084.6369315069</v>
      </c>
      <c r="N75" s="1339">
        <v>4998108</v>
      </c>
      <c r="O75" s="1336">
        <f>VLOOKUP(C75,'[1]Interest as per us on payment b'!C79:D264,2,0)</f>
        <v>4998109</v>
      </c>
      <c r="P75" s="1339">
        <v>2237340.4903013702</v>
      </c>
      <c r="Q75" s="1339">
        <v>4998108</v>
      </c>
      <c r="R75" s="1336">
        <f t="shared" si="17"/>
        <v>4848295.6639829278</v>
      </c>
      <c r="S75" s="1336">
        <f t="shared" si="15"/>
        <v>7085636.1542842984</v>
      </c>
      <c r="T75" s="1350">
        <f t="shared" si="12"/>
        <v>11648</v>
      </c>
      <c r="U75" s="1346" t="s">
        <v>3558</v>
      </c>
      <c r="V75" s="1306"/>
    </row>
    <row r="76" spans="2:22">
      <c r="B76" s="1323">
        <v>71</v>
      </c>
      <c r="C76" s="1376" t="s">
        <v>3425</v>
      </c>
      <c r="D76" s="621" t="s">
        <v>3589</v>
      </c>
      <c r="E76" s="1324">
        <v>4367936.7542923661</v>
      </c>
      <c r="F76" s="1325">
        <v>41103</v>
      </c>
      <c r="G76" s="1325">
        <f t="shared" si="9"/>
        <v>42382</v>
      </c>
      <c r="H76" s="1325">
        <v>43208</v>
      </c>
      <c r="I76" s="1325">
        <f t="shared" si="13"/>
        <v>826</v>
      </c>
      <c r="J76" s="1325">
        <f t="shared" si="16"/>
        <v>790776.05677709461</v>
      </c>
      <c r="K76" s="1325">
        <f t="shared" si="10"/>
        <v>5158712.8110694606</v>
      </c>
      <c r="L76" s="1339">
        <v>4567639</v>
      </c>
      <c r="M76" s="1336">
        <f t="shared" si="14"/>
        <v>826930.37019178085</v>
      </c>
      <c r="N76" s="1339">
        <v>4502906</v>
      </c>
      <c r="O76" s="1336">
        <f>VLOOKUP(C76,'[1]Interest as per us on payment b'!C80:D265,2,0)</f>
        <v>4502906</v>
      </c>
      <c r="P76" s="1339">
        <v>2024682.4504109591</v>
      </c>
      <c r="Q76" s="1339">
        <v>4502906</v>
      </c>
      <c r="R76" s="1336">
        <f t="shared" si="17"/>
        <v>4367936.7542923661</v>
      </c>
      <c r="S76" s="1336">
        <f t="shared" si="15"/>
        <v>6392619.2047033254</v>
      </c>
      <c r="T76" s="1350">
        <f t="shared" si="12"/>
        <v>64733</v>
      </c>
      <c r="U76" s="1346" t="s">
        <v>3590</v>
      </c>
      <c r="V76" s="1306"/>
    </row>
    <row r="77" spans="2:22">
      <c r="B77" s="1323">
        <v>72</v>
      </c>
      <c r="C77" s="1376" t="s">
        <v>3477</v>
      </c>
      <c r="D77" s="467" t="s">
        <v>3591</v>
      </c>
      <c r="E77" s="1324">
        <f>L77*100/103.09</f>
        <v>10015462.217479872</v>
      </c>
      <c r="F77" s="1325">
        <v>41003</v>
      </c>
      <c r="G77" s="1325">
        <f t="shared" si="9"/>
        <v>42281</v>
      </c>
      <c r="H77" s="1325">
        <v>43208</v>
      </c>
      <c r="I77" s="1325">
        <f t="shared" si="13"/>
        <v>927</v>
      </c>
      <c r="J77" s="1325">
        <f t="shared" si="16"/>
        <v>2034922.405611801</v>
      </c>
      <c r="K77" s="1325">
        <f t="shared" si="10"/>
        <v>12050384.623091672</v>
      </c>
      <c r="L77" s="1339">
        <v>10324940</v>
      </c>
      <c r="M77" s="1336">
        <f t="shared" si="14"/>
        <v>2097801.5079452051</v>
      </c>
      <c r="N77" s="1339">
        <v>12774123</v>
      </c>
      <c r="O77" s="1336">
        <v>10324940</v>
      </c>
      <c r="P77" s="1339">
        <v>4544340.4186301371</v>
      </c>
      <c r="Q77" s="1339">
        <v>10324940</v>
      </c>
      <c r="R77" s="1336">
        <f t="shared" si="17"/>
        <v>10015462.217479872</v>
      </c>
      <c r="S77" s="1336">
        <f t="shared" si="15"/>
        <v>14559802.636110008</v>
      </c>
      <c r="T77" s="1350">
        <f t="shared" si="12"/>
        <v>0</v>
      </c>
      <c r="U77" s="1346" t="s">
        <v>3592</v>
      </c>
      <c r="V77" s="1306" t="s">
        <v>3593</v>
      </c>
    </row>
    <row r="78" spans="2:22">
      <c r="B78" s="1323">
        <v>73</v>
      </c>
      <c r="C78" s="1376" t="s">
        <v>3250</v>
      </c>
      <c r="D78" s="621" t="s">
        <v>3594</v>
      </c>
      <c r="E78" s="1324">
        <v>5165513.6288679792</v>
      </c>
      <c r="F78" s="1325">
        <v>41158</v>
      </c>
      <c r="G78" s="1325">
        <f t="shared" si="9"/>
        <v>42435</v>
      </c>
      <c r="H78" s="1325">
        <v>43208</v>
      </c>
      <c r="I78" s="1325">
        <f t="shared" si="13"/>
        <v>773</v>
      </c>
      <c r="J78" s="1325">
        <f t="shared" si="16"/>
        <v>875165.37755944068</v>
      </c>
      <c r="K78" s="1325">
        <f t="shared" si="10"/>
        <v>6040679.0064274203</v>
      </c>
      <c r="L78" s="1339">
        <v>5209986</v>
      </c>
      <c r="M78" s="1336">
        <f t="shared" si="14"/>
        <v>882700.09380821919</v>
      </c>
      <c r="N78" s="1339">
        <v>5325128</v>
      </c>
      <c r="O78" s="1336">
        <f>VLOOKUP(C78,'[1]Interest as per us on payment b'!C83:D268,2,0)</f>
        <v>5325128</v>
      </c>
      <c r="P78" s="1339">
        <v>2423597.0954520549</v>
      </c>
      <c r="Q78" s="1339">
        <v>5175128</v>
      </c>
      <c r="R78" s="1336">
        <f t="shared" si="17"/>
        <v>5020009.7002619067</v>
      </c>
      <c r="S78" s="1336">
        <f t="shared" si="15"/>
        <v>7443606.7957139611</v>
      </c>
      <c r="T78" s="1350">
        <f t="shared" si="12"/>
        <v>34858</v>
      </c>
      <c r="U78" s="1346" t="s">
        <v>3595</v>
      </c>
      <c r="V78" s="1306"/>
    </row>
    <row r="79" spans="2:22">
      <c r="B79" s="1323">
        <v>74</v>
      </c>
      <c r="C79" s="1376" t="s">
        <v>3426</v>
      </c>
      <c r="D79" s="621" t="s">
        <v>3596</v>
      </c>
      <c r="E79" s="1324">
        <v>4848297.6040353086</v>
      </c>
      <c r="F79" s="1325">
        <v>40996</v>
      </c>
      <c r="G79" s="1325">
        <f t="shared" si="9"/>
        <v>42275</v>
      </c>
      <c r="H79" s="1325">
        <v>43208</v>
      </c>
      <c r="I79" s="1325">
        <f t="shared" si="13"/>
        <v>933</v>
      </c>
      <c r="J79" s="1325">
        <f t="shared" si="16"/>
        <v>991443.65250738489</v>
      </c>
      <c r="K79" s="1325">
        <f t="shared" si="10"/>
        <v>5839741.2565426938</v>
      </c>
      <c r="L79" s="1339">
        <v>4998113</v>
      </c>
      <c r="M79" s="1336">
        <f t="shared" si="14"/>
        <v>1022079.874849315</v>
      </c>
      <c r="N79" s="1339">
        <v>4998110</v>
      </c>
      <c r="O79" s="1336">
        <v>4998112</v>
      </c>
      <c r="P79" s="1339">
        <v>2265740.3533150684</v>
      </c>
      <c r="Q79" s="1339">
        <v>4998113</v>
      </c>
      <c r="R79" s="1336">
        <f t="shared" si="17"/>
        <v>4848300.5141138807</v>
      </c>
      <c r="S79" s="1336">
        <f t="shared" si="15"/>
        <v>7114040.8674289491</v>
      </c>
      <c r="T79" s="1350">
        <f t="shared" si="12"/>
        <v>0</v>
      </c>
      <c r="U79" s="1346"/>
      <c r="V79" s="1306"/>
    </row>
    <row r="80" spans="2:22" ht="30">
      <c r="B80" s="1323">
        <v>75</v>
      </c>
      <c r="C80" s="1376" t="s">
        <v>3427</v>
      </c>
      <c r="D80" s="621" t="s">
        <v>3597</v>
      </c>
      <c r="E80" s="1324">
        <v>6714748.2782035116</v>
      </c>
      <c r="F80" s="1325">
        <v>41148</v>
      </c>
      <c r="G80" s="1325">
        <f t="shared" si="9"/>
        <v>42427</v>
      </c>
      <c r="H80" s="1325">
        <v>43208</v>
      </c>
      <c r="I80" s="1325">
        <f t="shared" si="13"/>
        <v>781</v>
      </c>
      <c r="J80" s="1325">
        <f t="shared" si="16"/>
        <v>1149417.7326634396</v>
      </c>
      <c r="K80" s="1325">
        <f t="shared" si="10"/>
        <v>7864166.0108669512</v>
      </c>
      <c r="L80" s="1339">
        <v>6922234</v>
      </c>
      <c r="M80" s="1336">
        <f t="shared" si="14"/>
        <v>1184934.7406027396</v>
      </c>
      <c r="N80" s="1339">
        <v>6922234</v>
      </c>
      <c r="O80" s="1336">
        <f>VLOOKUP(C80,'[1]Interest as per us on payment b'!C85:D270,2,0)</f>
        <v>6922234</v>
      </c>
      <c r="P80" s="1339">
        <v>2858334.2318904111</v>
      </c>
      <c r="Q80" s="1339">
        <v>6922234</v>
      </c>
      <c r="R80" s="1336">
        <f t="shared" si="17"/>
        <v>6714748.2782035116</v>
      </c>
      <c r="S80" s="1336">
        <f t="shared" si="15"/>
        <v>9573082.5100939237</v>
      </c>
      <c r="T80" s="1350">
        <f t="shared" si="12"/>
        <v>0</v>
      </c>
      <c r="U80" s="1346"/>
      <c r="V80" s="1306"/>
    </row>
    <row r="81" spans="2:22">
      <c r="B81" s="1323">
        <v>76</v>
      </c>
      <c r="C81" s="1376" t="s">
        <v>3251</v>
      </c>
      <c r="D81" s="621" t="s">
        <v>3598</v>
      </c>
      <c r="E81" s="1324">
        <v>4780814.8220001934</v>
      </c>
      <c r="F81" s="1325">
        <v>40657</v>
      </c>
      <c r="G81" s="1325">
        <f t="shared" si="9"/>
        <v>41936</v>
      </c>
      <c r="H81" s="1325">
        <v>43208</v>
      </c>
      <c r="I81" s="1325">
        <f t="shared" si="13"/>
        <v>1272</v>
      </c>
      <c r="J81" s="1325">
        <f t="shared" si="16"/>
        <v>1332864.9761280539</v>
      </c>
      <c r="K81" s="1325">
        <f t="shared" si="10"/>
        <v>6113679.7981282473</v>
      </c>
      <c r="L81" s="1339">
        <v>4530247</v>
      </c>
      <c r="M81" s="1336">
        <f t="shared" si="14"/>
        <v>1263008.0403287672</v>
      </c>
      <c r="N81" s="1339">
        <v>4928542</v>
      </c>
      <c r="O81" s="1336">
        <f>VLOOKUP(C81,'[1]Interest as per us on payment b'!C86:D271,2,0)</f>
        <v>4928542</v>
      </c>
      <c r="P81" s="1339">
        <v>2235338.0951232878</v>
      </c>
      <c r="Q81" s="1339">
        <v>4928542</v>
      </c>
      <c r="R81" s="1336">
        <f t="shared" si="17"/>
        <v>4780814.8220001934</v>
      </c>
      <c r="S81" s="1336">
        <f t="shared" si="15"/>
        <v>7016152.9171234816</v>
      </c>
      <c r="T81" s="1350">
        <v>0</v>
      </c>
      <c r="U81" s="1346" t="s">
        <v>3599</v>
      </c>
      <c r="V81" s="1306"/>
    </row>
    <row r="82" spans="2:22">
      <c r="B82" s="1323">
        <v>77</v>
      </c>
      <c r="C82" s="1376" t="s">
        <v>3428</v>
      </c>
      <c r="D82" s="621" t="s">
        <v>3600</v>
      </c>
      <c r="E82" s="1324">
        <v>7713349.5004365118</v>
      </c>
      <c r="F82" s="1325">
        <v>41079</v>
      </c>
      <c r="G82" s="1325">
        <f t="shared" si="9"/>
        <v>42357</v>
      </c>
      <c r="H82" s="1325">
        <v>43208</v>
      </c>
      <c r="I82" s="1325">
        <f t="shared" si="13"/>
        <v>851</v>
      </c>
      <c r="J82" s="1325">
        <f t="shared" si="16"/>
        <v>1438698.1753142951</v>
      </c>
      <c r="K82" s="1325">
        <f t="shared" si="10"/>
        <v>9152047.6757508069</v>
      </c>
      <c r="L82" s="1339">
        <v>7951690</v>
      </c>
      <c r="M82" s="1336">
        <f t="shared" si="14"/>
        <v>1483153.5758904109</v>
      </c>
      <c r="N82" s="1339">
        <v>7951692</v>
      </c>
      <c r="O82" s="1336">
        <f>VLOOKUP(C82,'[1]Interest as per us on payment b'!C87:D272,2,0)</f>
        <v>7951692</v>
      </c>
      <c r="P82" s="1339">
        <v>3315671.7981369868</v>
      </c>
      <c r="Q82" s="1339">
        <v>7951690</v>
      </c>
      <c r="R82" s="1336">
        <f t="shared" si="17"/>
        <v>7713347.5603841301</v>
      </c>
      <c r="S82" s="1336">
        <f t="shared" si="15"/>
        <v>11029019.358521117</v>
      </c>
      <c r="T82" s="1350">
        <f t="shared" ref="T82:T122" si="18">+L82-Q82</f>
        <v>0</v>
      </c>
      <c r="U82" s="1346"/>
      <c r="V82" s="1306"/>
    </row>
    <row r="83" spans="2:22" ht="30">
      <c r="B83" s="1323">
        <v>78</v>
      </c>
      <c r="C83" s="1376" t="s">
        <v>3429</v>
      </c>
      <c r="D83" s="621" t="s">
        <v>3601</v>
      </c>
      <c r="E83" s="1324">
        <v>7666835.7745659128</v>
      </c>
      <c r="F83" s="1325">
        <v>41149</v>
      </c>
      <c r="G83" s="1325">
        <f t="shared" si="9"/>
        <v>42428</v>
      </c>
      <c r="H83" s="1325">
        <v>43208</v>
      </c>
      <c r="I83" s="1325">
        <f t="shared" si="13"/>
        <v>780</v>
      </c>
      <c r="J83" s="1325">
        <f t="shared" si="16"/>
        <v>1310713.8420079807</v>
      </c>
      <c r="K83" s="1325">
        <f t="shared" si="10"/>
        <v>8977549.6165738925</v>
      </c>
      <c r="L83" s="1339">
        <v>7931422</v>
      </c>
      <c r="M83" s="1336">
        <f t="shared" si="14"/>
        <v>1355947.213150685</v>
      </c>
      <c r="N83" s="1339">
        <v>7903741</v>
      </c>
      <c r="O83" s="1336">
        <f>VLOOKUP(C83,'[1]Interest as per us on payment b'!C88:D273,2,0)</f>
        <v>7903741</v>
      </c>
      <c r="P83" s="1339">
        <v>3265133.5048767123</v>
      </c>
      <c r="Q83" s="1339">
        <v>7903741</v>
      </c>
      <c r="R83" s="1336">
        <f t="shared" si="17"/>
        <v>7666835.7745659128</v>
      </c>
      <c r="S83" s="1336">
        <f t="shared" si="15"/>
        <v>10931969.279442625</v>
      </c>
      <c r="T83" s="1350">
        <f t="shared" si="18"/>
        <v>27681</v>
      </c>
      <c r="U83" s="1346" t="s">
        <v>3573</v>
      </c>
      <c r="V83" s="1306"/>
    </row>
    <row r="84" spans="2:22">
      <c r="B84" s="1323">
        <v>79</v>
      </c>
      <c r="C84" s="1376" t="s">
        <v>3237</v>
      </c>
      <c r="D84" s="621" t="s">
        <v>3602</v>
      </c>
      <c r="E84" s="1324">
        <v>5695703.7540013576</v>
      </c>
      <c r="F84" s="1325">
        <v>40975</v>
      </c>
      <c r="G84" s="1325">
        <f t="shared" si="9"/>
        <v>42254</v>
      </c>
      <c r="H84" s="1325">
        <v>43208</v>
      </c>
      <c r="I84" s="1325">
        <f t="shared" si="13"/>
        <v>954</v>
      </c>
      <c r="J84" s="1325">
        <f t="shared" si="16"/>
        <v>1190948.2479599551</v>
      </c>
      <c r="K84" s="1325">
        <f t="shared" si="10"/>
        <v>6886652.0019613132</v>
      </c>
      <c r="L84" s="1339">
        <v>5897417</v>
      </c>
      <c r="M84" s="1336">
        <f t="shared" si="14"/>
        <v>1233125.6587397261</v>
      </c>
      <c r="N84" s="1339">
        <v>5871701</v>
      </c>
      <c r="O84" s="1336">
        <v>5879416</v>
      </c>
      <c r="P84" s="1339">
        <v>2645569.7606575345</v>
      </c>
      <c r="Q84" s="1339">
        <v>5871701</v>
      </c>
      <c r="R84" s="1336">
        <f t="shared" si="17"/>
        <v>5695703.7540013576</v>
      </c>
      <c r="S84" s="1336">
        <f t="shared" si="15"/>
        <v>8341273.5146588925</v>
      </c>
      <c r="T84" s="1350">
        <f t="shared" si="18"/>
        <v>25716</v>
      </c>
      <c r="U84" s="1346" t="s">
        <v>3573</v>
      </c>
      <c r="V84" s="1306"/>
    </row>
    <row r="85" spans="2:22" ht="30">
      <c r="B85" s="1323">
        <v>80</v>
      </c>
      <c r="C85" s="1376" t="s">
        <v>3236</v>
      </c>
      <c r="D85" s="621" t="s">
        <v>3603</v>
      </c>
      <c r="E85" s="1324">
        <v>7278353.86555437</v>
      </c>
      <c r="F85" s="1325">
        <v>41680</v>
      </c>
      <c r="G85" s="1325">
        <f t="shared" si="9"/>
        <v>42957</v>
      </c>
      <c r="H85" s="1325">
        <v>43208</v>
      </c>
      <c r="I85" s="1325">
        <f t="shared" si="13"/>
        <v>251</v>
      </c>
      <c r="J85" s="1325">
        <f t="shared" si="16"/>
        <v>400409.16608310066</v>
      </c>
      <c r="K85" s="1325">
        <f t="shared" si="10"/>
        <v>7678763.0316374702</v>
      </c>
      <c r="L85" s="1339">
        <v>7607300</v>
      </c>
      <c r="M85" s="1336">
        <f t="shared" si="14"/>
        <v>418505.70958904113</v>
      </c>
      <c r="N85" s="1339">
        <v>7503255</v>
      </c>
      <c r="O85" s="1336">
        <v>7607298</v>
      </c>
      <c r="P85" s="1339">
        <v>3207297.6043835618</v>
      </c>
      <c r="Q85" s="1339">
        <v>7607300</v>
      </c>
      <c r="R85" s="1336">
        <f t="shared" si="17"/>
        <v>7379280.2405664949</v>
      </c>
      <c r="S85" s="1336">
        <f t="shared" si="15"/>
        <v>10586577.844950058</v>
      </c>
      <c r="T85" s="1350">
        <f t="shared" si="18"/>
        <v>0</v>
      </c>
      <c r="U85" s="1346" t="s">
        <v>3604</v>
      </c>
      <c r="V85" s="1306"/>
    </row>
    <row r="86" spans="2:22" ht="30">
      <c r="B86" s="1323">
        <v>81</v>
      </c>
      <c r="C86" s="1376" t="s">
        <v>3235</v>
      </c>
      <c r="D86" s="621" t="s">
        <v>3605</v>
      </c>
      <c r="E86" s="1324">
        <v>4912814.0459792409</v>
      </c>
      <c r="F86" s="1325">
        <v>41122</v>
      </c>
      <c r="G86" s="1325">
        <f t="shared" si="9"/>
        <v>42401</v>
      </c>
      <c r="H86" s="1325">
        <v>43208</v>
      </c>
      <c r="I86" s="1325">
        <f t="shared" si="13"/>
        <v>807</v>
      </c>
      <c r="J86" s="1325">
        <f t="shared" si="16"/>
        <v>868962.3967353967</v>
      </c>
      <c r="K86" s="1325">
        <f t="shared" si="10"/>
        <v>5781776.4427146371</v>
      </c>
      <c r="L86" s="1339">
        <v>5069205</v>
      </c>
      <c r="M86" s="1336">
        <f t="shared" si="14"/>
        <v>896624.31452054786</v>
      </c>
      <c r="N86" s="1339">
        <v>5064620</v>
      </c>
      <c r="O86" s="1336">
        <v>5069209</v>
      </c>
      <c r="P86" s="1339">
        <v>2147391.6990684932</v>
      </c>
      <c r="Q86" s="1339">
        <v>5064620</v>
      </c>
      <c r="R86" s="1336">
        <f t="shared" si="17"/>
        <v>4912814.0459792409</v>
      </c>
      <c r="S86" s="1336">
        <f t="shared" si="15"/>
        <v>7060205.7450477341</v>
      </c>
      <c r="T86" s="1350">
        <f t="shared" si="18"/>
        <v>4585</v>
      </c>
      <c r="U86" s="1346" t="s">
        <v>3573</v>
      </c>
      <c r="V86" s="1306"/>
    </row>
    <row r="87" spans="2:22">
      <c r="B87" s="1323">
        <v>82</v>
      </c>
      <c r="C87" s="1376" t="s">
        <v>3431</v>
      </c>
      <c r="D87" s="621" t="s">
        <v>3606</v>
      </c>
      <c r="E87" s="1324">
        <v>6361159.1812978946</v>
      </c>
      <c r="F87" s="1325">
        <v>41030</v>
      </c>
      <c r="G87" s="1325">
        <f t="shared" si="9"/>
        <v>42309</v>
      </c>
      <c r="H87" s="1325">
        <v>43208</v>
      </c>
      <c r="I87" s="1325">
        <f t="shared" si="13"/>
        <v>899</v>
      </c>
      <c r="J87" s="1325">
        <f t="shared" si="16"/>
        <v>1253409.7762162865</v>
      </c>
      <c r="K87" s="1325">
        <f t="shared" si="10"/>
        <v>7614568.9575141808</v>
      </c>
      <c r="L87" s="1339">
        <v>6557719</v>
      </c>
      <c r="M87" s="1336">
        <f t="shared" si="14"/>
        <v>1292140.13830137</v>
      </c>
      <c r="N87" s="1339">
        <v>6557719</v>
      </c>
      <c r="O87" s="1336">
        <v>6557719</v>
      </c>
      <c r="P87" s="1339">
        <v>2787560.1499178079</v>
      </c>
      <c r="Q87" s="1339">
        <v>6557719</v>
      </c>
      <c r="R87" s="1336">
        <f t="shared" si="17"/>
        <v>6361159.1812978946</v>
      </c>
      <c r="S87" s="1336">
        <f t="shared" si="15"/>
        <v>9148719.331215702</v>
      </c>
      <c r="T87" s="1350">
        <f t="shared" si="18"/>
        <v>0</v>
      </c>
      <c r="U87" s="1346"/>
      <c r="V87" s="1306"/>
    </row>
    <row r="88" spans="2:22">
      <c r="B88" s="1323">
        <v>83</v>
      </c>
      <c r="C88" s="1376" t="s">
        <v>3234</v>
      </c>
      <c r="D88" s="621" t="s">
        <v>3607</v>
      </c>
      <c r="E88" s="1324">
        <v>6707688.4275875445</v>
      </c>
      <c r="F88" s="1325">
        <v>41069</v>
      </c>
      <c r="G88" s="1325">
        <f t="shared" si="9"/>
        <v>42347</v>
      </c>
      <c r="H88" s="1325">
        <v>43208</v>
      </c>
      <c r="I88" s="1325">
        <f t="shared" si="13"/>
        <v>861</v>
      </c>
      <c r="J88" s="1325">
        <f t="shared" si="16"/>
        <v>1265823.5038143289</v>
      </c>
      <c r="K88" s="1325">
        <f t="shared" si="10"/>
        <v>7973511.931401873</v>
      </c>
      <c r="L88" s="1339">
        <v>6914956</v>
      </c>
      <c r="M88" s="1336">
        <f t="shared" si="14"/>
        <v>1304937.4500821917</v>
      </c>
      <c r="N88" s="1339">
        <v>6914956</v>
      </c>
      <c r="O88" s="1336">
        <v>6914955</v>
      </c>
      <c r="P88" s="1339">
        <v>2633145.9973698631</v>
      </c>
      <c r="Q88" s="1339">
        <v>6914956</v>
      </c>
      <c r="R88" s="1336">
        <f t="shared" si="17"/>
        <v>6707688.4275875445</v>
      </c>
      <c r="S88" s="1336">
        <f t="shared" si="15"/>
        <v>9340834.4249574076</v>
      </c>
      <c r="T88" s="1350">
        <f t="shared" si="18"/>
        <v>0</v>
      </c>
      <c r="U88" s="1346"/>
      <c r="V88" s="1306"/>
    </row>
    <row r="89" spans="2:22" ht="30">
      <c r="B89" s="1323">
        <v>84</v>
      </c>
      <c r="C89" s="1376" t="s">
        <v>3214</v>
      </c>
      <c r="D89" s="621" t="s">
        <v>3608</v>
      </c>
      <c r="E89" s="1324">
        <v>4463320.3996507907</v>
      </c>
      <c r="F89" s="1325">
        <v>40937</v>
      </c>
      <c r="G89" s="1325">
        <f t="shared" si="9"/>
        <v>42214</v>
      </c>
      <c r="H89" s="1325">
        <v>43208</v>
      </c>
      <c r="I89" s="1325">
        <f t="shared" si="13"/>
        <v>994</v>
      </c>
      <c r="J89" s="1325">
        <f t="shared" si="16"/>
        <v>972392.43337049568</v>
      </c>
      <c r="K89" s="1325">
        <f t="shared" si="10"/>
        <v>5435712.8330212869</v>
      </c>
      <c r="L89" s="1339">
        <v>4611863</v>
      </c>
      <c r="M89" s="1336">
        <f t="shared" si="14"/>
        <v>1004754.3719452054</v>
      </c>
      <c r="N89" s="1339">
        <v>4601237</v>
      </c>
      <c r="O89" s="1336">
        <f>VLOOKUP(C89,'[1]Interest as per us on payment b'!C97:D282,2,0)</f>
        <v>4601237</v>
      </c>
      <c r="P89" s="1339">
        <v>1813031.9997808221</v>
      </c>
      <c r="Q89" s="1339">
        <v>4601237</v>
      </c>
      <c r="R89" s="1336">
        <f t="shared" si="17"/>
        <v>4463320.3996507907</v>
      </c>
      <c r="S89" s="1336">
        <f t="shared" si="15"/>
        <v>6276352.3994316123</v>
      </c>
      <c r="T89" s="1350">
        <f t="shared" si="18"/>
        <v>10626</v>
      </c>
      <c r="U89" s="1346" t="s">
        <v>3609</v>
      </c>
      <c r="V89" s="1306"/>
    </row>
    <row r="90" spans="2:22">
      <c r="B90" s="1323">
        <v>85</v>
      </c>
      <c r="C90" s="1376" t="s">
        <v>3240</v>
      </c>
      <c r="D90" s="621" t="s">
        <v>3610</v>
      </c>
      <c r="E90" s="1324">
        <v>7824480.5509748757</v>
      </c>
      <c r="F90" s="1325">
        <v>41164</v>
      </c>
      <c r="G90" s="1325">
        <f t="shared" ref="G90:G103" si="19">EDATE(F90,42)</f>
        <v>42441</v>
      </c>
      <c r="H90" s="1325">
        <v>43208</v>
      </c>
      <c r="I90" s="1325">
        <f t="shared" si="13"/>
        <v>767</v>
      </c>
      <c r="J90" s="1325">
        <f t="shared" si="16"/>
        <v>1315370.209884434</v>
      </c>
      <c r="K90" s="1325">
        <f t="shared" ref="K90:K103" si="20">E90+J90</f>
        <v>9139850.7608593106</v>
      </c>
      <c r="L90" s="1339">
        <v>8461825</v>
      </c>
      <c r="M90" s="1336">
        <f t="shared" si="14"/>
        <v>1422513.9232876711</v>
      </c>
      <c r="N90" s="1339">
        <v>8066257</v>
      </c>
      <c r="O90" s="1336">
        <v>8461825</v>
      </c>
      <c r="P90" s="1339">
        <v>3518113.2517260276</v>
      </c>
      <c r="Q90" s="1339">
        <v>8461825</v>
      </c>
      <c r="R90" s="1336">
        <f t="shared" si="17"/>
        <v>8208191.8711805213</v>
      </c>
      <c r="S90" s="1336">
        <f t="shared" si="15"/>
        <v>11726305.122906549</v>
      </c>
      <c r="T90" s="1350">
        <f t="shared" si="18"/>
        <v>0</v>
      </c>
      <c r="U90" s="1346" t="s">
        <v>3611</v>
      </c>
      <c r="V90" s="1306"/>
    </row>
    <row r="91" spans="2:22" ht="30">
      <c r="B91" s="1323">
        <v>86</v>
      </c>
      <c r="C91" s="1376" t="s">
        <v>3432</v>
      </c>
      <c r="D91" s="621" t="s">
        <v>3612</v>
      </c>
      <c r="E91" s="1324">
        <v>5761499.6604908332</v>
      </c>
      <c r="F91" s="1325">
        <v>41156</v>
      </c>
      <c r="G91" s="1325">
        <f t="shared" si="19"/>
        <v>42433</v>
      </c>
      <c r="H91" s="1325">
        <v>43208</v>
      </c>
      <c r="I91" s="1325">
        <f t="shared" si="13"/>
        <v>775</v>
      </c>
      <c r="J91" s="1325">
        <f t="shared" si="16"/>
        <v>978665.69575460721</v>
      </c>
      <c r="K91" s="1325">
        <f t="shared" si="20"/>
        <v>6740165.3562454404</v>
      </c>
      <c r="L91" s="1339">
        <v>6039531</v>
      </c>
      <c r="M91" s="1336">
        <f t="shared" si="14"/>
        <v>1025892.9369863013</v>
      </c>
      <c r="N91" s="1339">
        <v>5939530</v>
      </c>
      <c r="O91" s="1336">
        <v>5939530</v>
      </c>
      <c r="P91" s="1339">
        <v>2514245.0702465759</v>
      </c>
      <c r="Q91" s="1339">
        <v>5939530</v>
      </c>
      <c r="R91" s="1336">
        <f t="shared" si="17"/>
        <v>5761499.6604908332</v>
      </c>
      <c r="S91" s="1336">
        <f t="shared" si="15"/>
        <v>8275744.7307374086</v>
      </c>
      <c r="T91" s="1350">
        <f t="shared" si="18"/>
        <v>100001</v>
      </c>
      <c r="U91" s="1346" t="s">
        <v>3613</v>
      </c>
      <c r="V91" s="1306"/>
    </row>
    <row r="92" spans="2:22">
      <c r="B92" s="1323">
        <v>87</v>
      </c>
      <c r="C92" s="1376" t="s">
        <v>3238</v>
      </c>
      <c r="D92" s="621" t="s">
        <v>3614</v>
      </c>
      <c r="E92" s="1324">
        <v>5452421.1853720052</v>
      </c>
      <c r="F92" s="1325">
        <v>41156</v>
      </c>
      <c r="G92" s="1325">
        <f t="shared" si="19"/>
        <v>42433</v>
      </c>
      <c r="H92" s="1325">
        <v>43208</v>
      </c>
      <c r="I92" s="1325">
        <f t="shared" si="13"/>
        <v>775</v>
      </c>
      <c r="J92" s="1325">
        <f t="shared" si="16"/>
        <v>926164.6945015461</v>
      </c>
      <c r="K92" s="1325">
        <f t="shared" si="20"/>
        <v>6378585.8798735514</v>
      </c>
      <c r="L92" s="1339">
        <v>6129380</v>
      </c>
      <c r="M92" s="1336">
        <f t="shared" si="14"/>
        <v>1041154.9589041097</v>
      </c>
      <c r="N92" s="1339">
        <v>5620901</v>
      </c>
      <c r="O92" s="1336">
        <v>5620901</v>
      </c>
      <c r="P92" s="1339">
        <v>2383701.1064109593</v>
      </c>
      <c r="Q92" s="1339">
        <v>5620901</v>
      </c>
      <c r="R92" s="1336">
        <f t="shared" si="17"/>
        <v>5452421.1853720052</v>
      </c>
      <c r="S92" s="1336">
        <f t="shared" si="15"/>
        <v>7836122.291782964</v>
      </c>
      <c r="T92" s="1350">
        <f t="shared" si="18"/>
        <v>508479</v>
      </c>
      <c r="U92" s="1346" t="s">
        <v>3615</v>
      </c>
      <c r="V92" s="1306"/>
    </row>
    <row r="93" spans="2:22">
      <c r="B93" s="1323">
        <v>88</v>
      </c>
      <c r="C93" s="1376" t="s">
        <v>3239</v>
      </c>
      <c r="D93" s="621" t="s">
        <v>3616</v>
      </c>
      <c r="E93" s="1324">
        <v>8755137.2587059848</v>
      </c>
      <c r="F93" s="1325">
        <v>41207</v>
      </c>
      <c r="G93" s="1325">
        <f t="shared" si="19"/>
        <v>42485</v>
      </c>
      <c r="H93" s="1325">
        <v>43208</v>
      </c>
      <c r="I93" s="1325">
        <f t="shared" si="13"/>
        <v>723</v>
      </c>
      <c r="J93" s="1325">
        <f t="shared" si="16"/>
        <v>1387389.4220371346</v>
      </c>
      <c r="K93" s="1325">
        <f t="shared" si="20"/>
        <v>10142526.680743119</v>
      </c>
      <c r="L93" s="1339">
        <v>9045771</v>
      </c>
      <c r="M93" s="1336">
        <f t="shared" si="14"/>
        <v>1433444.916821918</v>
      </c>
      <c r="N93" s="1339">
        <v>9025671</v>
      </c>
      <c r="O93" s="1336">
        <v>9025671</v>
      </c>
      <c r="P93" s="1339">
        <v>3471833.3133150684</v>
      </c>
      <c r="Q93" s="1339">
        <v>9025671</v>
      </c>
      <c r="R93" s="1336">
        <f t="shared" si="17"/>
        <v>8755137.2587059848</v>
      </c>
      <c r="S93" s="1336">
        <f t="shared" si="15"/>
        <v>12226970.572021052</v>
      </c>
      <c r="T93" s="1350">
        <f t="shared" si="18"/>
        <v>20100</v>
      </c>
      <c r="U93" s="1346" t="s">
        <v>3617</v>
      </c>
      <c r="V93" s="1306"/>
    </row>
    <row r="94" spans="2:22" ht="30">
      <c r="B94" s="1323">
        <v>89</v>
      </c>
      <c r="C94" s="1376" t="s">
        <v>3433</v>
      </c>
      <c r="D94" s="621" t="s">
        <v>3618</v>
      </c>
      <c r="E94" s="1324">
        <v>5675957.9008633234</v>
      </c>
      <c r="F94" s="1325">
        <v>40645</v>
      </c>
      <c r="G94" s="1325">
        <f t="shared" si="19"/>
        <v>41924</v>
      </c>
      <c r="H94" s="1325">
        <v>43208</v>
      </c>
      <c r="I94" s="1325">
        <f t="shared" si="13"/>
        <v>1284</v>
      </c>
      <c r="J94" s="1325">
        <f t="shared" si="16"/>
        <v>1597354.5084292619</v>
      </c>
      <c r="K94" s="1325">
        <f t="shared" si="20"/>
        <v>7273312.4092925852</v>
      </c>
      <c r="L94" s="1339">
        <v>5851345</v>
      </c>
      <c r="M94" s="1336">
        <f t="shared" si="14"/>
        <v>1646712.7627397259</v>
      </c>
      <c r="N94" s="1339">
        <v>5851345</v>
      </c>
      <c r="O94" s="1336">
        <v>5851345</v>
      </c>
      <c r="P94" s="1339">
        <v>2556747.0198356165</v>
      </c>
      <c r="Q94" s="1339">
        <v>5851345</v>
      </c>
      <c r="R94" s="1336">
        <f t="shared" si="17"/>
        <v>5675957.9008633234</v>
      </c>
      <c r="S94" s="1336">
        <f t="shared" si="15"/>
        <v>8232704.9206989398</v>
      </c>
      <c r="T94" s="1350">
        <f t="shared" si="18"/>
        <v>0</v>
      </c>
      <c r="U94" s="1346"/>
      <c r="V94" s="1306"/>
    </row>
    <row r="95" spans="2:22">
      <c r="B95" s="1323">
        <v>90</v>
      </c>
      <c r="C95" s="1376" t="s">
        <v>3241</v>
      </c>
      <c r="D95" s="621" t="s">
        <v>3619</v>
      </c>
      <c r="E95" s="1324">
        <v>5490478.2229120182</v>
      </c>
      <c r="F95" s="1325">
        <v>41340</v>
      </c>
      <c r="G95" s="1325">
        <f t="shared" si="19"/>
        <v>42620</v>
      </c>
      <c r="H95" s="1325">
        <v>43208</v>
      </c>
      <c r="I95" s="1325">
        <f t="shared" si="13"/>
        <v>588</v>
      </c>
      <c r="J95" s="1325">
        <f t="shared" si="16"/>
        <v>707594.78248159273</v>
      </c>
      <c r="K95" s="1325">
        <f t="shared" si="20"/>
        <v>6198073.0053936113</v>
      </c>
      <c r="L95" s="1339">
        <v>6185901</v>
      </c>
      <c r="M95" s="1336">
        <f t="shared" si="14"/>
        <v>797218.58367123292</v>
      </c>
      <c r="N95" s="1339">
        <v>5660134</v>
      </c>
      <c r="O95" s="1336">
        <v>5660134</v>
      </c>
      <c r="P95" s="1339">
        <v>2546007.8196164384</v>
      </c>
      <c r="Q95" s="1339">
        <v>5660134</v>
      </c>
      <c r="R95" s="1336">
        <f t="shared" si="17"/>
        <v>5490478.2229120182</v>
      </c>
      <c r="S95" s="1336">
        <f t="shared" si="15"/>
        <v>8036486.0425284561</v>
      </c>
      <c r="T95" s="1350">
        <f t="shared" si="18"/>
        <v>525767</v>
      </c>
      <c r="U95" s="1346" t="s">
        <v>3620</v>
      </c>
      <c r="V95" s="1306"/>
    </row>
    <row r="96" spans="2:22">
      <c r="B96" s="1323">
        <v>91</v>
      </c>
      <c r="C96" s="1376" t="s">
        <v>3242</v>
      </c>
      <c r="D96" s="621" t="s">
        <v>3621</v>
      </c>
      <c r="E96" s="1324">
        <v>5685777.4759918517</v>
      </c>
      <c r="F96" s="1325">
        <v>40726</v>
      </c>
      <c r="G96" s="1325">
        <f t="shared" si="19"/>
        <v>42006</v>
      </c>
      <c r="H96" s="1325">
        <v>43208</v>
      </c>
      <c r="I96" s="1325">
        <f t="shared" si="13"/>
        <v>1202</v>
      </c>
      <c r="J96" s="1325">
        <f t="shared" si="16"/>
        <v>1497929.7591544562</v>
      </c>
      <c r="K96" s="1325">
        <f t="shared" si="20"/>
        <v>7183707.2351463083</v>
      </c>
      <c r="L96" s="1339">
        <v>5861468</v>
      </c>
      <c r="M96" s="1336">
        <f t="shared" si="14"/>
        <v>1544215.7887123288</v>
      </c>
      <c r="N96" s="1339">
        <v>5861468</v>
      </c>
      <c r="O96" s="1336">
        <f>VLOOKUP(C96,'[1]Interest as per us on payment b'!C105:D290,2,0)</f>
        <v>5861466</v>
      </c>
      <c r="P96" s="1339">
        <v>2476731.9951780825</v>
      </c>
      <c r="Q96" s="1339">
        <v>5861468</v>
      </c>
      <c r="R96" s="1336">
        <f t="shared" si="17"/>
        <v>5685777.4759918517</v>
      </c>
      <c r="S96" s="1336">
        <f t="shared" si="15"/>
        <v>8162509.4711699337</v>
      </c>
      <c r="T96" s="1350">
        <f t="shared" si="18"/>
        <v>0</v>
      </c>
      <c r="U96" s="1346"/>
      <c r="V96" s="1306"/>
    </row>
    <row r="97" spans="2:22">
      <c r="B97" s="1323">
        <v>92</v>
      </c>
      <c r="C97" s="1376" t="s">
        <v>3253</v>
      </c>
      <c r="D97" s="621" t="s">
        <v>3622</v>
      </c>
      <c r="E97" s="1324">
        <v>5995296.3430012604</v>
      </c>
      <c r="F97" s="1325">
        <v>40742</v>
      </c>
      <c r="G97" s="1325">
        <f t="shared" si="19"/>
        <v>42022</v>
      </c>
      <c r="H97" s="1325">
        <v>43208</v>
      </c>
      <c r="I97" s="1325">
        <f t="shared" si="13"/>
        <v>1186</v>
      </c>
      <c r="J97" s="1325">
        <f t="shared" si="16"/>
        <v>1558448.5397916702</v>
      </c>
      <c r="K97" s="1325">
        <f t="shared" si="20"/>
        <v>7553744.8827929311</v>
      </c>
      <c r="L97" s="1339">
        <v>6194412</v>
      </c>
      <c r="M97" s="1336">
        <f t="shared" si="14"/>
        <v>1610207.7001643837</v>
      </c>
      <c r="N97" s="1339">
        <v>6180551</v>
      </c>
      <c r="O97" s="1336">
        <v>6180551</v>
      </c>
      <c r="P97" s="1339">
        <v>2857899.0128219179</v>
      </c>
      <c r="Q97" s="1339">
        <v>6180551</v>
      </c>
      <c r="R97" s="1336">
        <f t="shared" si="17"/>
        <v>5995296.3430012604</v>
      </c>
      <c r="S97" s="1336">
        <f t="shared" si="15"/>
        <v>8853195.3558231778</v>
      </c>
      <c r="T97" s="1350">
        <f t="shared" si="18"/>
        <v>13861</v>
      </c>
      <c r="U97" s="1346" t="s">
        <v>3558</v>
      </c>
      <c r="V97" s="1306" t="s">
        <v>3623</v>
      </c>
    </row>
    <row r="98" spans="2:22">
      <c r="B98" s="1323">
        <v>93</v>
      </c>
      <c r="C98" s="1376" t="s">
        <v>3254</v>
      </c>
      <c r="D98" s="621" t="s">
        <v>3624</v>
      </c>
      <c r="E98" s="1324">
        <v>1292196.139295761</v>
      </c>
      <c r="F98" s="1325">
        <v>40742</v>
      </c>
      <c r="G98" s="1325">
        <f t="shared" si="19"/>
        <v>42022</v>
      </c>
      <c r="H98" s="1325">
        <v>43208</v>
      </c>
      <c r="I98" s="1325">
        <f t="shared" si="13"/>
        <v>1186</v>
      </c>
      <c r="J98" s="1325">
        <f t="shared" si="16"/>
        <v>335900.19094899128</v>
      </c>
      <c r="K98" s="1325">
        <f t="shared" si="20"/>
        <v>1628096.3302447523</v>
      </c>
      <c r="L98" s="1339">
        <v>1332125</v>
      </c>
      <c r="M98" s="1336">
        <f t="shared" si="14"/>
        <v>346279.50684931508</v>
      </c>
      <c r="N98" s="1339">
        <v>1332125</v>
      </c>
      <c r="O98" s="1336">
        <v>1332125</v>
      </c>
      <c r="P98" s="1339">
        <v>719128.52054794517</v>
      </c>
      <c r="Q98" s="1339">
        <v>1332125</v>
      </c>
      <c r="R98" s="1336">
        <f t="shared" si="17"/>
        <v>1292196.139295761</v>
      </c>
      <c r="S98" s="1336">
        <f t="shared" si="15"/>
        <v>2011324.6598437061</v>
      </c>
      <c r="T98" s="1350">
        <f t="shared" si="18"/>
        <v>0</v>
      </c>
      <c r="U98" s="1346"/>
      <c r="V98" s="1306" t="s">
        <v>3625</v>
      </c>
    </row>
    <row r="99" spans="2:22">
      <c r="B99" s="1323">
        <v>94</v>
      </c>
      <c r="C99" s="1376" t="s">
        <v>3255</v>
      </c>
      <c r="D99" s="621" t="s">
        <v>3626</v>
      </c>
      <c r="E99" s="1324">
        <v>5638395.5766805699</v>
      </c>
      <c r="F99" s="1325">
        <v>41051</v>
      </c>
      <c r="G99" s="1325">
        <f t="shared" si="19"/>
        <v>42330</v>
      </c>
      <c r="H99" s="1325">
        <v>43208</v>
      </c>
      <c r="I99" s="1325">
        <f t="shared" si="13"/>
        <v>878</v>
      </c>
      <c r="J99" s="1325">
        <f t="shared" si="16"/>
        <v>1085043.5761809405</v>
      </c>
      <c r="K99" s="1325">
        <f t="shared" si="20"/>
        <v>6723439.1528615104</v>
      </c>
      <c r="L99" s="1339">
        <v>5824079</v>
      </c>
      <c r="M99" s="1336">
        <f t="shared" si="14"/>
        <v>1120776.1889315068</v>
      </c>
      <c r="N99" s="1339">
        <v>5812622</v>
      </c>
      <c r="O99" s="1336">
        <f>VLOOKUP(C99,'[1]Interest as per us on payment b'!C110:D295,2,0)</f>
        <v>5812622</v>
      </c>
      <c r="P99" s="1339">
        <v>2527485.6545753423</v>
      </c>
      <c r="Q99" s="1339">
        <v>5812622</v>
      </c>
      <c r="R99" s="1336">
        <f t="shared" si="17"/>
        <v>5638395.5766805699</v>
      </c>
      <c r="S99" s="1336">
        <f t="shared" si="15"/>
        <v>8165881.2312559122</v>
      </c>
      <c r="T99" s="1350">
        <f t="shared" si="18"/>
        <v>11457</v>
      </c>
      <c r="U99" s="1346" t="s">
        <v>3558</v>
      </c>
      <c r="V99" s="1306"/>
    </row>
    <row r="100" spans="2:22" ht="30">
      <c r="B100" s="1323">
        <v>95</v>
      </c>
      <c r="C100" s="1376" t="s">
        <v>3434</v>
      </c>
      <c r="D100" s="621" t="s">
        <v>3627</v>
      </c>
      <c r="E100" s="1324">
        <v>6124033.3689009603</v>
      </c>
      <c r="F100" s="1325">
        <v>41172</v>
      </c>
      <c r="G100" s="1325">
        <f t="shared" si="19"/>
        <v>42449</v>
      </c>
      <c r="H100" s="1325">
        <v>43208</v>
      </c>
      <c r="I100" s="1325">
        <f t="shared" si="13"/>
        <v>759</v>
      </c>
      <c r="J100" s="1325">
        <f t="shared" si="16"/>
        <v>1018770.7018073049</v>
      </c>
      <c r="K100" s="1325">
        <f t="shared" si="20"/>
        <v>7142804.0707082655</v>
      </c>
      <c r="L100" s="1339">
        <v>6313635</v>
      </c>
      <c r="M100" s="1336">
        <f t="shared" si="14"/>
        <v>1050312.1019178082</v>
      </c>
      <c r="N100" s="1339">
        <v>6313266</v>
      </c>
      <c r="O100" s="1336">
        <v>6313266</v>
      </c>
      <c r="P100" s="1339">
        <v>2777613.2223561648</v>
      </c>
      <c r="Q100" s="1339">
        <v>6313635</v>
      </c>
      <c r="R100" s="1336">
        <f t="shared" si="17"/>
        <v>6124391.3085653307</v>
      </c>
      <c r="S100" s="1336">
        <f t="shared" si="15"/>
        <v>8902004.5309214965</v>
      </c>
      <c r="T100" s="1350">
        <f t="shared" si="18"/>
        <v>0</v>
      </c>
      <c r="U100" s="1346"/>
      <c r="V100" s="1306"/>
    </row>
    <row r="101" spans="2:22">
      <c r="B101" s="1323">
        <v>96</v>
      </c>
      <c r="C101" s="1376" t="s">
        <v>3259</v>
      </c>
      <c r="D101" s="621" t="s">
        <v>3628</v>
      </c>
      <c r="E101" s="1324">
        <v>5319986.4196333298</v>
      </c>
      <c r="F101" s="1325">
        <v>41263</v>
      </c>
      <c r="G101" s="1325">
        <f t="shared" si="19"/>
        <v>42541</v>
      </c>
      <c r="H101" s="1325">
        <v>43208</v>
      </c>
      <c r="I101" s="1325">
        <f t="shared" si="13"/>
        <v>667</v>
      </c>
      <c r="J101" s="1325">
        <f t="shared" si="16"/>
        <v>777738.28863461502</v>
      </c>
      <c r="K101" s="1325">
        <f t="shared" si="20"/>
        <v>6097724.7082679449</v>
      </c>
      <c r="L101" s="1339">
        <v>5496616</v>
      </c>
      <c r="M101" s="1336">
        <f t="shared" si="14"/>
        <v>803560.08153424656</v>
      </c>
      <c r="N101" s="1339">
        <v>5484374</v>
      </c>
      <c r="O101" s="1336">
        <f>VLOOKUP(C101,'[1]Interest as per us on payment b'!C112:D297,2,0)</f>
        <v>5484377</v>
      </c>
      <c r="P101" s="1339">
        <v>2387728.354191781</v>
      </c>
      <c r="Q101" s="1339">
        <v>5484374</v>
      </c>
      <c r="R101" s="1336">
        <f t="shared" si="17"/>
        <v>5319986.4196333298</v>
      </c>
      <c r="S101" s="1336">
        <f t="shared" si="15"/>
        <v>7707714.7738251109</v>
      </c>
      <c r="T101" s="1350">
        <f t="shared" si="18"/>
        <v>12242</v>
      </c>
      <c r="U101" s="1346" t="s">
        <v>3629</v>
      </c>
      <c r="V101" s="1306"/>
    </row>
    <row r="102" spans="2:22">
      <c r="B102" s="1323">
        <v>97</v>
      </c>
      <c r="C102" s="1376" t="s">
        <v>3435</v>
      </c>
      <c r="D102" s="621" t="s">
        <v>3630</v>
      </c>
      <c r="E102" s="1324">
        <v>5516102.4347657384</v>
      </c>
      <c r="F102" s="1325">
        <v>41015</v>
      </c>
      <c r="G102" s="1325">
        <f t="shared" si="19"/>
        <v>42293</v>
      </c>
      <c r="H102" s="1325">
        <v>43208</v>
      </c>
      <c r="I102" s="1325">
        <f t="shared" si="13"/>
        <v>915</v>
      </c>
      <c r="J102" s="1325">
        <f t="shared" si="16"/>
        <v>1106243.0088352112</v>
      </c>
      <c r="K102" s="1325">
        <f t="shared" si="20"/>
        <v>6622345.4436009498</v>
      </c>
      <c r="L102" s="1339">
        <v>5686550</v>
      </c>
      <c r="M102" s="1336">
        <f t="shared" si="14"/>
        <v>1140425.9178082191</v>
      </c>
      <c r="N102" s="1339">
        <v>5686550</v>
      </c>
      <c r="O102" s="1336">
        <f>VLOOKUP(C102,'[1]Interest as per us on payment b'!C113:D298,2,0)</f>
        <v>5686550</v>
      </c>
      <c r="P102" s="1339">
        <v>2634290.438136986</v>
      </c>
      <c r="Q102" s="1339">
        <v>5686550</v>
      </c>
      <c r="R102" s="1336">
        <f t="shared" si="17"/>
        <v>5516102.4347657384</v>
      </c>
      <c r="S102" s="1336">
        <f t="shared" ref="S102:S133" si="21">+R102+P102</f>
        <v>8150392.8729027249</v>
      </c>
      <c r="T102" s="1350">
        <f t="shared" si="18"/>
        <v>0</v>
      </c>
      <c r="U102" s="1346"/>
      <c r="V102" s="1306"/>
    </row>
    <row r="103" spans="2:22">
      <c r="B103" s="1323">
        <v>98</v>
      </c>
      <c r="C103" s="1376" t="s">
        <v>3260</v>
      </c>
      <c r="D103" s="621" t="s">
        <v>3631</v>
      </c>
      <c r="E103" s="1324">
        <v>7436450.6741682021</v>
      </c>
      <c r="F103" s="1325">
        <v>41156</v>
      </c>
      <c r="G103" s="1325">
        <f t="shared" si="19"/>
        <v>42433</v>
      </c>
      <c r="H103" s="1325">
        <v>43208</v>
      </c>
      <c r="I103" s="1325">
        <f t="shared" si="13"/>
        <v>775</v>
      </c>
      <c r="J103" s="1325">
        <f t="shared" si="16"/>
        <v>1263177.9227354208</v>
      </c>
      <c r="K103" s="1325">
        <f t="shared" si="20"/>
        <v>8699628.5969036222</v>
      </c>
      <c r="L103" s="1339">
        <v>7692364</v>
      </c>
      <c r="M103" s="1336">
        <f t="shared" si="14"/>
        <v>1306648.1315068493</v>
      </c>
      <c r="N103" s="1339">
        <v>7666237</v>
      </c>
      <c r="O103" s="1336">
        <f>VLOOKUP(C103,'[1]Interest as per us on payment b'!C114:D299,2,0)</f>
        <v>7666233</v>
      </c>
      <c r="P103" s="1339">
        <v>3282253.5169315068</v>
      </c>
      <c r="Q103" s="1339">
        <v>7666237</v>
      </c>
      <c r="R103" s="1336">
        <f t="shared" si="17"/>
        <v>7436450.6741682021</v>
      </c>
      <c r="S103" s="1336">
        <f t="shared" si="21"/>
        <v>10718704.191099709</v>
      </c>
      <c r="T103" s="1350">
        <f t="shared" si="18"/>
        <v>26127</v>
      </c>
      <c r="U103" s="1346" t="s">
        <v>3617</v>
      </c>
      <c r="V103" s="1306"/>
    </row>
    <row r="104" spans="2:22">
      <c r="B104" s="1323">
        <v>99</v>
      </c>
      <c r="C104" s="1376" t="s">
        <v>3632</v>
      </c>
      <c r="D104" s="621" t="s">
        <v>3633</v>
      </c>
      <c r="E104" s="1324">
        <v>6707688.4275875445</v>
      </c>
      <c r="F104" s="1325">
        <v>41156</v>
      </c>
      <c r="G104" s="1325">
        <f>EDATE(F104,42)</f>
        <v>42433</v>
      </c>
      <c r="H104" s="1325">
        <v>43208</v>
      </c>
      <c r="I104" s="1325">
        <f>H104-G104</f>
        <v>775</v>
      </c>
      <c r="J104" s="1325">
        <f>E104*8/100/365*I104</f>
        <v>1139388.1712614461</v>
      </c>
      <c r="K104" s="1325">
        <f>E104+J104</f>
        <v>7847076.5988489911</v>
      </c>
      <c r="L104" s="1339">
        <v>6914955</v>
      </c>
      <c r="M104" s="1336">
        <f t="shared" si="14"/>
        <v>1174595.0958904112</v>
      </c>
      <c r="N104" s="1339">
        <v>6914956</v>
      </c>
      <c r="O104" s="1336">
        <v>6914955</v>
      </c>
      <c r="P104" s="1339">
        <v>2870744.271780822</v>
      </c>
      <c r="Q104" s="1339">
        <v>6914955</v>
      </c>
      <c r="R104" s="1336">
        <f t="shared" si="17"/>
        <v>6707687.4575613542</v>
      </c>
      <c r="S104" s="1336">
        <f t="shared" si="21"/>
        <v>9578431.7293421756</v>
      </c>
      <c r="T104" s="1350">
        <f t="shared" si="18"/>
        <v>0</v>
      </c>
      <c r="U104" s="1346"/>
      <c r="V104" s="1306"/>
    </row>
    <row r="105" spans="2:22">
      <c r="B105" s="1323">
        <v>100</v>
      </c>
      <c r="C105" s="1376" t="s">
        <v>3634</v>
      </c>
      <c r="D105" s="621" t="s">
        <v>3635</v>
      </c>
      <c r="E105" s="1324">
        <v>4766652.4396158699</v>
      </c>
      <c r="F105" s="1325">
        <v>41156</v>
      </c>
      <c r="G105" s="1325">
        <f>EDATE(F105,42)</f>
        <v>42433</v>
      </c>
      <c r="H105" s="1325">
        <v>43208</v>
      </c>
      <c r="I105" s="1325">
        <f>H105-G105</f>
        <v>775</v>
      </c>
      <c r="J105" s="1325">
        <f>E105*8/100/365*I105</f>
        <v>809677.94864707917</v>
      </c>
      <c r="K105" s="1325">
        <f>E105+J105</f>
        <v>5576330.388262949</v>
      </c>
      <c r="L105" s="1339">
        <v>4913942</v>
      </c>
      <c r="M105" s="1336">
        <f t="shared" si="14"/>
        <v>834696.9972602739</v>
      </c>
      <c r="N105" s="1339">
        <v>4913942</v>
      </c>
      <c r="O105" s="1336">
        <v>4913942</v>
      </c>
      <c r="P105" s="1339">
        <v>2268621.9375342466</v>
      </c>
      <c r="Q105" s="1339">
        <v>4913942</v>
      </c>
      <c r="R105" s="1336">
        <f t="shared" si="17"/>
        <v>4766652.4396158699</v>
      </c>
      <c r="S105" s="1336">
        <f t="shared" si="21"/>
        <v>7035274.3771501165</v>
      </c>
      <c r="T105" s="1350">
        <f t="shared" si="18"/>
        <v>0</v>
      </c>
      <c r="U105" s="1346"/>
      <c r="V105" s="1306"/>
    </row>
    <row r="106" spans="2:22" ht="30">
      <c r="B106" s="1323">
        <v>101</v>
      </c>
      <c r="C106" s="1376" t="s">
        <v>3436</v>
      </c>
      <c r="D106" s="621" t="s">
        <v>3636</v>
      </c>
      <c r="E106" s="1324">
        <v>4987474.0517993988</v>
      </c>
      <c r="F106" s="1325">
        <v>40970</v>
      </c>
      <c r="G106" s="1325">
        <f>EDATE(F106,42)</f>
        <v>42249</v>
      </c>
      <c r="H106" s="1325">
        <v>43208</v>
      </c>
      <c r="I106" s="1325">
        <f>H106-G106</f>
        <v>959</v>
      </c>
      <c r="J106" s="1325">
        <f>E106*8/100/365*I106</f>
        <v>1048326.0527508216</v>
      </c>
      <c r="K106" s="1325">
        <f>E106+J106</f>
        <v>6035800.1045502201</v>
      </c>
      <c r="L106" s="1339">
        <v>5144000</v>
      </c>
      <c r="M106" s="1336">
        <f t="shared" si="14"/>
        <v>1081226.5205479453</v>
      </c>
      <c r="N106" s="1339">
        <v>5141587</v>
      </c>
      <c r="O106" s="1336">
        <v>5141587</v>
      </c>
      <c r="P106" s="1339">
        <v>2246141.6120547941</v>
      </c>
      <c r="Q106" s="1339">
        <v>5141587</v>
      </c>
      <c r="R106" s="1336">
        <f t="shared" si="17"/>
        <v>4987474.0517993988</v>
      </c>
      <c r="S106" s="1336">
        <f t="shared" si="21"/>
        <v>7233615.6638541929</v>
      </c>
      <c r="T106" s="1350">
        <f t="shared" si="18"/>
        <v>2413</v>
      </c>
      <c r="U106" s="1346" t="s">
        <v>3637</v>
      </c>
      <c r="V106" s="1306"/>
    </row>
    <row r="107" spans="2:22">
      <c r="B107" s="1323">
        <v>102</v>
      </c>
      <c r="C107" s="1376" t="s">
        <v>3437</v>
      </c>
      <c r="D107" s="621" t="s">
        <v>3638</v>
      </c>
      <c r="E107" s="1324">
        <v>5966551.5568920355</v>
      </c>
      <c r="F107" s="1325">
        <v>41118</v>
      </c>
      <c r="G107" s="1325">
        <f t="shared" ref="G107:G114" si="22">EDATE(F107,42)</f>
        <v>42397</v>
      </c>
      <c r="H107" s="1325">
        <v>43208</v>
      </c>
      <c r="I107" s="1325">
        <f t="shared" ref="I107:I114" si="23">H107-G107</f>
        <v>811</v>
      </c>
      <c r="J107" s="1325">
        <f t="shared" ref="J107:J114" si="24">E107*8/100/365*I107</f>
        <v>1060574.972633302</v>
      </c>
      <c r="K107" s="1325">
        <f t="shared" ref="K107:K114" si="25">E107+J107</f>
        <v>7027126.5295253377</v>
      </c>
      <c r="L107" s="1339">
        <v>6150683</v>
      </c>
      <c r="M107" s="1336">
        <f t="shared" si="14"/>
        <v>1093304.9672328767</v>
      </c>
      <c r="N107" s="1339">
        <v>6150917</v>
      </c>
      <c r="O107" s="1336">
        <v>6150638</v>
      </c>
      <c r="P107" s="1339">
        <v>2656476.1683287672</v>
      </c>
      <c r="Q107" s="1339">
        <v>6150683</v>
      </c>
      <c r="R107" s="1336">
        <f t="shared" si="17"/>
        <v>5966323.6007372197</v>
      </c>
      <c r="S107" s="1336">
        <f t="shared" si="21"/>
        <v>8622799.7690659873</v>
      </c>
      <c r="T107" s="1350">
        <f t="shared" si="18"/>
        <v>0</v>
      </c>
      <c r="U107" s="1346"/>
      <c r="V107" s="1306"/>
    </row>
    <row r="108" spans="2:22">
      <c r="B108" s="1323">
        <v>103</v>
      </c>
      <c r="C108" s="1376" t="s">
        <v>3438</v>
      </c>
      <c r="D108" s="621" t="s">
        <v>3639</v>
      </c>
      <c r="E108" s="1324">
        <v>12974579.493646327</v>
      </c>
      <c r="F108" s="1325">
        <v>41568</v>
      </c>
      <c r="G108" s="1325">
        <f t="shared" si="22"/>
        <v>42846</v>
      </c>
      <c r="H108" s="1325">
        <v>43208</v>
      </c>
      <c r="I108" s="1325">
        <f t="shared" si="23"/>
        <v>362</v>
      </c>
      <c r="J108" s="1325">
        <f t="shared" si="24"/>
        <v>1029435.1291397196</v>
      </c>
      <c r="K108" s="1325">
        <f t="shared" si="25"/>
        <v>14004014.622786047</v>
      </c>
      <c r="L108" s="1339">
        <v>13375494</v>
      </c>
      <c r="M108" s="1336">
        <f t="shared" si="14"/>
        <v>1061244.6746301372</v>
      </c>
      <c r="N108" s="1339">
        <v>13375494</v>
      </c>
      <c r="O108" s="1336">
        <v>13375494</v>
      </c>
      <c r="P108" s="1339">
        <v>4723534.1996712331</v>
      </c>
      <c r="Q108" s="1339">
        <v>13375494</v>
      </c>
      <c r="R108" s="1336">
        <f t="shared" si="17"/>
        <v>12974579.493646327</v>
      </c>
      <c r="S108" s="1336">
        <f t="shared" si="21"/>
        <v>17698113.693317562</v>
      </c>
      <c r="T108" s="1350">
        <f t="shared" si="18"/>
        <v>0</v>
      </c>
      <c r="U108" s="1346"/>
      <c r="V108" s="1306"/>
    </row>
    <row r="109" spans="2:22">
      <c r="B109" s="1323">
        <v>104</v>
      </c>
      <c r="C109" s="1376" t="s">
        <v>3439</v>
      </c>
      <c r="D109" s="621" t="s">
        <v>3640</v>
      </c>
      <c r="E109" s="1324">
        <v>8805045.1062178668</v>
      </c>
      <c r="F109" s="1325">
        <v>41568</v>
      </c>
      <c r="G109" s="1325">
        <f t="shared" si="22"/>
        <v>42846</v>
      </c>
      <c r="H109" s="1325">
        <v>43208</v>
      </c>
      <c r="I109" s="1325">
        <f t="shared" si="23"/>
        <v>362</v>
      </c>
      <c r="J109" s="1325">
        <f t="shared" si="24"/>
        <v>698613.98979745037</v>
      </c>
      <c r="K109" s="1325">
        <f t="shared" si="25"/>
        <v>9503659.0960153174</v>
      </c>
      <c r="L109" s="1339">
        <v>9177121</v>
      </c>
      <c r="M109" s="1336">
        <f t="shared" si="14"/>
        <v>728135.40865753428</v>
      </c>
      <c r="N109" s="1339">
        <v>9077121</v>
      </c>
      <c r="O109" s="1336">
        <v>9077121</v>
      </c>
      <c r="P109" s="1339">
        <v>1100697.010191781</v>
      </c>
      <c r="Q109" s="1339">
        <v>9077121</v>
      </c>
      <c r="R109" s="1336">
        <f t="shared" si="17"/>
        <v>8805045.1062178668</v>
      </c>
      <c r="S109" s="1336">
        <f t="shared" si="21"/>
        <v>9905742.1164096482</v>
      </c>
      <c r="T109" s="1350">
        <f t="shared" si="18"/>
        <v>100000</v>
      </c>
      <c r="U109" s="1346" t="s">
        <v>3641</v>
      </c>
      <c r="V109" s="1306"/>
    </row>
    <row r="110" spans="2:22">
      <c r="B110" s="1323">
        <v>105</v>
      </c>
      <c r="C110" s="1376" t="s">
        <v>3440</v>
      </c>
      <c r="D110" s="621" t="s">
        <v>3642</v>
      </c>
      <c r="E110" s="1324">
        <v>5804402.9488796191</v>
      </c>
      <c r="F110" s="1325">
        <v>41106</v>
      </c>
      <c r="G110" s="1325">
        <f t="shared" si="22"/>
        <v>42385</v>
      </c>
      <c r="H110" s="1325">
        <v>43208</v>
      </c>
      <c r="I110" s="1325">
        <f t="shared" si="23"/>
        <v>823</v>
      </c>
      <c r="J110" s="1325">
        <f t="shared" si="24"/>
        <v>1047018.8771348881</v>
      </c>
      <c r="K110" s="1325">
        <f t="shared" si="25"/>
        <v>6851421.8260145076</v>
      </c>
      <c r="L110" s="1339">
        <v>5990472</v>
      </c>
      <c r="M110" s="1336">
        <f t="shared" si="14"/>
        <v>1080582.6752876714</v>
      </c>
      <c r="N110" s="1339">
        <v>5983759</v>
      </c>
      <c r="O110" s="1336">
        <v>5990472</v>
      </c>
      <c r="P110" s="1339">
        <v>2562835.7312876713</v>
      </c>
      <c r="Q110" s="1339">
        <v>5983759</v>
      </c>
      <c r="R110" s="1336">
        <f t="shared" si="17"/>
        <v>5804402.9488796191</v>
      </c>
      <c r="S110" s="1336">
        <f t="shared" si="21"/>
        <v>8367238.6801672904</v>
      </c>
      <c r="T110" s="1350">
        <f t="shared" si="18"/>
        <v>6713</v>
      </c>
      <c r="U110" s="1346" t="s">
        <v>3573</v>
      </c>
      <c r="V110" s="1306"/>
    </row>
    <row r="111" spans="2:22">
      <c r="B111" s="1323">
        <v>106</v>
      </c>
      <c r="C111" s="1376" t="s">
        <v>3441</v>
      </c>
      <c r="D111" s="621" t="s">
        <v>3643</v>
      </c>
      <c r="E111" s="1324">
        <v>5819421.8643903388</v>
      </c>
      <c r="F111" s="1325">
        <v>42277</v>
      </c>
      <c r="G111" s="1325">
        <f t="shared" si="22"/>
        <v>43554</v>
      </c>
      <c r="H111" s="1325">
        <v>43208</v>
      </c>
      <c r="I111" s="1325">
        <f t="shared" si="23"/>
        <v>-346</v>
      </c>
      <c r="J111" s="1325">
        <f t="shared" si="24"/>
        <v>-441319.44440088922</v>
      </c>
      <c r="K111" s="1325">
        <f t="shared" si="25"/>
        <v>5378102.4199894499</v>
      </c>
      <c r="L111" s="1339">
        <v>5999242</v>
      </c>
      <c r="M111" s="1336">
        <v>0</v>
      </c>
      <c r="N111" s="1339">
        <v>5999242</v>
      </c>
      <c r="O111" s="1336">
        <v>5999242</v>
      </c>
      <c r="P111" s="1339">
        <v>2837408.6215890413</v>
      </c>
      <c r="Q111" s="1339">
        <v>5999242</v>
      </c>
      <c r="R111" s="1336">
        <f t="shared" si="17"/>
        <v>5819421.8643903388</v>
      </c>
      <c r="S111" s="1336">
        <f t="shared" si="21"/>
        <v>8656830.4859793801</v>
      </c>
      <c r="T111" s="1350">
        <f t="shared" si="18"/>
        <v>0</v>
      </c>
      <c r="U111" s="1346"/>
      <c r="V111" s="1306"/>
    </row>
    <row r="112" spans="2:22">
      <c r="B112" s="1323">
        <v>107</v>
      </c>
      <c r="C112" s="1376" t="s">
        <v>3442</v>
      </c>
      <c r="D112" s="621" t="s">
        <v>3644</v>
      </c>
      <c r="E112" s="1324">
        <v>5513034.2419245318</v>
      </c>
      <c r="F112" s="1325">
        <v>41003</v>
      </c>
      <c r="G112" s="1325">
        <f t="shared" si="22"/>
        <v>42281</v>
      </c>
      <c r="H112" s="1325">
        <v>43208</v>
      </c>
      <c r="I112" s="1325">
        <f t="shared" si="23"/>
        <v>927</v>
      </c>
      <c r="J112" s="1325">
        <f t="shared" si="24"/>
        <v>1120127.7243318446</v>
      </c>
      <c r="K112" s="1325">
        <f t="shared" si="25"/>
        <v>6633161.9662563764</v>
      </c>
      <c r="L112" s="1339">
        <v>5683386</v>
      </c>
      <c r="M112" s="1336">
        <f t="shared" si="14"/>
        <v>1154739.4678356166</v>
      </c>
      <c r="N112" s="1339">
        <v>5683387</v>
      </c>
      <c r="O112" s="1336">
        <f>VLOOKUP(C112,'[1]Interest as per us on payment b'!C123:D308,2,0)</f>
        <v>5683385</v>
      </c>
      <c r="P112" s="1339">
        <v>2592786.8804383557</v>
      </c>
      <c r="Q112" s="1339">
        <v>5683386</v>
      </c>
      <c r="R112" s="1336">
        <f t="shared" si="17"/>
        <v>5513033.2718983414</v>
      </c>
      <c r="S112" s="1336">
        <f t="shared" si="21"/>
        <v>8105820.1523366971</v>
      </c>
      <c r="T112" s="1350">
        <f t="shared" si="18"/>
        <v>0</v>
      </c>
      <c r="U112" s="1346"/>
      <c r="V112" s="1306"/>
    </row>
    <row r="113" spans="2:22">
      <c r="B113" s="1323">
        <v>108</v>
      </c>
      <c r="C113" s="1376" t="s">
        <v>3443</v>
      </c>
      <c r="D113" s="621" t="s">
        <v>3645</v>
      </c>
      <c r="E113" s="1324">
        <v>5529108.5459307395</v>
      </c>
      <c r="F113" s="1325">
        <v>41038</v>
      </c>
      <c r="G113" s="1325">
        <f t="shared" si="22"/>
        <v>42317</v>
      </c>
      <c r="H113" s="1325">
        <v>43208</v>
      </c>
      <c r="I113" s="1325">
        <f t="shared" si="23"/>
        <v>891</v>
      </c>
      <c r="J113" s="1325">
        <f t="shared" si="24"/>
        <v>1079766.7319286114</v>
      </c>
      <c r="K113" s="1325">
        <f t="shared" si="25"/>
        <v>6608875.2778593507</v>
      </c>
      <c r="L113" s="1339">
        <v>5701636</v>
      </c>
      <c r="M113" s="1336">
        <f t="shared" si="14"/>
        <v>1113459.2166575342</v>
      </c>
      <c r="N113" s="1339">
        <v>5699958</v>
      </c>
      <c r="O113" s="1336">
        <f>VLOOKUP(C113,'[1]Interest as per us on payment b'!C124:D309,2,0)</f>
        <v>5699958</v>
      </c>
      <c r="P113" s="1339">
        <v>2477757.9660273972</v>
      </c>
      <c r="Q113" s="1339">
        <v>5699958</v>
      </c>
      <c r="R113" s="1336">
        <f t="shared" si="17"/>
        <v>5529108.5459307395</v>
      </c>
      <c r="S113" s="1336">
        <f t="shared" si="21"/>
        <v>8006866.5119581372</v>
      </c>
      <c r="T113" s="1350">
        <f t="shared" si="18"/>
        <v>1678</v>
      </c>
      <c r="U113" s="1346" t="s">
        <v>3646</v>
      </c>
      <c r="V113" s="1306"/>
    </row>
    <row r="114" spans="2:22">
      <c r="B114" s="1323">
        <v>109</v>
      </c>
      <c r="C114" s="1376" t="s">
        <v>3444</v>
      </c>
      <c r="D114" s="621" t="s">
        <v>3647</v>
      </c>
      <c r="E114" s="1324">
        <v>6070578.1356096612</v>
      </c>
      <c r="F114" s="1325">
        <v>41179</v>
      </c>
      <c r="G114" s="1325">
        <f t="shared" si="22"/>
        <v>42456</v>
      </c>
      <c r="H114" s="1325">
        <v>43208</v>
      </c>
      <c r="I114" s="1325">
        <f t="shared" si="23"/>
        <v>752</v>
      </c>
      <c r="J114" s="1325">
        <f t="shared" si="24"/>
        <v>1000564.3305158279</v>
      </c>
      <c r="K114" s="1325">
        <f t="shared" si="25"/>
        <v>7071142.4661254892</v>
      </c>
      <c r="L114" s="1339">
        <v>6258159</v>
      </c>
      <c r="M114" s="1336">
        <f t="shared" si="14"/>
        <v>1031481.768328767</v>
      </c>
      <c r="N114" s="1339">
        <v>6250112</v>
      </c>
      <c r="O114" s="1336">
        <v>6250112</v>
      </c>
      <c r="P114" s="1339">
        <v>2700765.7635068493</v>
      </c>
      <c r="Q114" s="1339">
        <v>6250112</v>
      </c>
      <c r="R114" s="1336">
        <f t="shared" si="17"/>
        <v>6062772.334853041</v>
      </c>
      <c r="S114" s="1336">
        <f t="shared" si="21"/>
        <v>8763538.0983598903</v>
      </c>
      <c r="T114" s="1350">
        <f t="shared" si="18"/>
        <v>8047</v>
      </c>
      <c r="U114" s="1346" t="s">
        <v>3648</v>
      </c>
      <c r="V114" s="1306"/>
    </row>
    <row r="115" spans="2:22">
      <c r="B115" s="1323">
        <v>110</v>
      </c>
      <c r="C115" s="1376" t="s">
        <v>3256</v>
      </c>
      <c r="D115" s="621" t="s">
        <v>3649</v>
      </c>
      <c r="E115" s="1324">
        <v>4849142.4968474144</v>
      </c>
      <c r="F115" s="1325">
        <v>41099</v>
      </c>
      <c r="G115" s="1325">
        <f>EDATE(F115,42)</f>
        <v>42378</v>
      </c>
      <c r="H115" s="1325">
        <v>43208</v>
      </c>
      <c r="I115" s="1325">
        <f>H115-G115</f>
        <v>830</v>
      </c>
      <c r="J115" s="1325">
        <f>E115*8/100/365*I115</f>
        <v>882145.37476895424</v>
      </c>
      <c r="K115" s="1325">
        <f>E115+J115</f>
        <v>5731287.8716163691</v>
      </c>
      <c r="L115" s="1339">
        <v>4999580</v>
      </c>
      <c r="M115" s="1336">
        <f t="shared" si="14"/>
        <v>909512.63561643846</v>
      </c>
      <c r="N115" s="1339">
        <v>4998981</v>
      </c>
      <c r="O115" s="1336">
        <v>4999579</v>
      </c>
      <c r="P115" s="1339">
        <v>2302362.6513972604</v>
      </c>
      <c r="Q115" s="1339">
        <v>4998981</v>
      </c>
      <c r="R115" s="1336">
        <f t="shared" si="17"/>
        <v>4849142.4968474144</v>
      </c>
      <c r="S115" s="1336">
        <f t="shared" si="21"/>
        <v>7151505.1482446752</v>
      </c>
      <c r="T115" s="1350">
        <f t="shared" si="18"/>
        <v>599</v>
      </c>
      <c r="U115" s="1346" t="s">
        <v>3646</v>
      </c>
      <c r="V115" s="1306"/>
    </row>
    <row r="116" spans="2:22" ht="30">
      <c r="B116" s="1323">
        <v>111</v>
      </c>
      <c r="C116" s="1376" t="s">
        <v>3445</v>
      </c>
      <c r="D116" s="621" t="s">
        <v>3650</v>
      </c>
      <c r="E116" s="1324">
        <v>9650005.8201571442</v>
      </c>
      <c r="F116" s="1325">
        <v>41151</v>
      </c>
      <c r="G116" s="1325">
        <f>EDATE(F116,42)</f>
        <v>42429</v>
      </c>
      <c r="H116" s="1325">
        <v>43208</v>
      </c>
      <c r="I116" s="1325">
        <f>H116-G116</f>
        <v>779</v>
      </c>
      <c r="J116" s="1325">
        <f>E116*8/100/365*I116</f>
        <v>1647639.34989642</v>
      </c>
      <c r="K116" s="1325">
        <f>E116+J116</f>
        <v>11297645.170053564</v>
      </c>
      <c r="L116" s="1339">
        <v>9971901</v>
      </c>
      <c r="M116" s="1336">
        <f t="shared" si="14"/>
        <v>1702599.6447123284</v>
      </c>
      <c r="N116" s="1339">
        <v>9948191</v>
      </c>
      <c r="O116" s="1336">
        <v>9948191</v>
      </c>
      <c r="P116" s="1339">
        <v>4170728.5556164384</v>
      </c>
      <c r="Q116" s="1339">
        <v>9948191</v>
      </c>
      <c r="R116" s="1336">
        <f t="shared" si="17"/>
        <v>9650005.8201571442</v>
      </c>
      <c r="S116" s="1336">
        <f t="shared" si="21"/>
        <v>13820734.375773583</v>
      </c>
      <c r="T116" s="1350">
        <f t="shared" si="18"/>
        <v>23710</v>
      </c>
      <c r="U116" s="1346"/>
      <c r="V116" s="1306"/>
    </row>
    <row r="117" spans="2:22">
      <c r="B117" s="1323">
        <v>112</v>
      </c>
      <c r="C117" s="1376" t="s">
        <v>3446</v>
      </c>
      <c r="D117" s="621" t="s">
        <v>3651</v>
      </c>
      <c r="E117" s="1324">
        <v>5865808.5168299545</v>
      </c>
      <c r="F117" s="1325">
        <v>41151</v>
      </c>
      <c r="G117" s="1325">
        <f>EDATE(F117,42)</f>
        <v>42429</v>
      </c>
      <c r="H117" s="1325">
        <v>43208</v>
      </c>
      <c r="I117" s="1325">
        <f>H117-G117</f>
        <v>779</v>
      </c>
      <c r="J117" s="1325">
        <f>E117*8/100/365*I117</f>
        <v>1001526.5390927199</v>
      </c>
      <c r="K117" s="1325">
        <f>E117+J117</f>
        <v>6867335.055922674</v>
      </c>
      <c r="L117" s="1339">
        <v>6156801</v>
      </c>
      <c r="M117" s="1336">
        <f t="shared" si="14"/>
        <v>1051210.5159452055</v>
      </c>
      <c r="N117" s="1339">
        <v>6047062</v>
      </c>
      <c r="O117" s="1336">
        <v>6047061</v>
      </c>
      <c r="P117" s="1339">
        <v>2556904.0782465753</v>
      </c>
      <c r="Q117" s="1339">
        <v>6047062</v>
      </c>
      <c r="R117" s="1336">
        <f t="shared" si="17"/>
        <v>5865808.5168299545</v>
      </c>
      <c r="S117" s="1336">
        <f t="shared" si="21"/>
        <v>8422712.5950765293</v>
      </c>
      <c r="T117" s="1350">
        <f t="shared" si="18"/>
        <v>109739</v>
      </c>
      <c r="U117" s="1346" t="s">
        <v>3646</v>
      </c>
      <c r="V117" s="1306"/>
    </row>
    <row r="118" spans="2:22">
      <c r="B118" s="1323">
        <v>113</v>
      </c>
      <c r="C118" s="1376" t="s">
        <v>3258</v>
      </c>
      <c r="D118" s="621" t="s">
        <v>3652</v>
      </c>
      <c r="E118" s="1324">
        <v>8536230.4782229122</v>
      </c>
      <c r="F118" s="1325">
        <v>41573</v>
      </c>
      <c r="G118" s="1325">
        <f>EDATE(F118,42)</f>
        <v>42851</v>
      </c>
      <c r="H118" s="1325">
        <v>43208</v>
      </c>
      <c r="I118" s="1325">
        <f>H118-G118</f>
        <v>357</v>
      </c>
      <c r="J118" s="1325">
        <f>E118*8/100/365*I118</f>
        <v>667930.80125492159</v>
      </c>
      <c r="K118" s="1325">
        <f>E118+J118</f>
        <v>9204161.2794778347</v>
      </c>
      <c r="L118" s="1339">
        <v>8800000</v>
      </c>
      <c r="M118" s="1336">
        <f t="shared" si="14"/>
        <v>688569.8630136986</v>
      </c>
      <c r="N118" s="1339">
        <v>8800000</v>
      </c>
      <c r="O118" s="1336">
        <v>8800000</v>
      </c>
      <c r="P118" s="1339">
        <v>3143276.7123287674</v>
      </c>
      <c r="Q118" s="1339">
        <v>8800000</v>
      </c>
      <c r="R118" s="1336">
        <f t="shared" si="17"/>
        <v>8536230.4782229122</v>
      </c>
      <c r="S118" s="1336">
        <f t="shared" si="21"/>
        <v>11679507.19055168</v>
      </c>
      <c r="T118" s="1350">
        <f t="shared" si="18"/>
        <v>0</v>
      </c>
      <c r="U118" s="1346"/>
      <c r="V118" s="1306"/>
    </row>
    <row r="119" spans="2:22">
      <c r="B119" s="1323">
        <v>114</v>
      </c>
      <c r="C119" s="1376" t="s">
        <v>3653</v>
      </c>
      <c r="D119" s="621" t="s">
        <v>3654</v>
      </c>
      <c r="E119" s="1324">
        <v>5701962.3629838005</v>
      </c>
      <c r="F119" s="1325">
        <v>41113</v>
      </c>
      <c r="G119" s="1325">
        <f>EDATE(F119,42)</f>
        <v>42392</v>
      </c>
      <c r="H119" s="1325">
        <v>43208</v>
      </c>
      <c r="I119" s="1325">
        <f>H119-G119</f>
        <v>816</v>
      </c>
      <c r="J119" s="1325">
        <f>E119*8/100/365*I119</f>
        <v>1019792.0631659793</v>
      </c>
      <c r="K119" s="1325">
        <f>E119+J119</f>
        <v>6721754.4261497799</v>
      </c>
      <c r="L119" s="1339">
        <v>5878153</v>
      </c>
      <c r="M119" s="1336">
        <f t="shared" si="14"/>
        <v>1051303.6379178083</v>
      </c>
      <c r="N119" s="1339">
        <v>5878153</v>
      </c>
      <c r="O119" s="1336">
        <v>5878153</v>
      </c>
      <c r="P119" s="1339">
        <v>2519095.6188493152</v>
      </c>
      <c r="Q119" s="1339">
        <v>5878153</v>
      </c>
      <c r="R119" s="1336">
        <f t="shared" si="17"/>
        <v>5701962.3629838005</v>
      </c>
      <c r="S119" s="1336">
        <f t="shared" si="21"/>
        <v>8221057.9818331152</v>
      </c>
      <c r="T119" s="1350">
        <f t="shared" si="18"/>
        <v>0</v>
      </c>
      <c r="U119" s="1346"/>
      <c r="V119" s="1306"/>
    </row>
    <row r="120" spans="2:22">
      <c r="B120" s="1323">
        <v>115</v>
      </c>
      <c r="C120" s="1376" t="s">
        <v>3447</v>
      </c>
      <c r="D120" s="621" t="s">
        <v>3655</v>
      </c>
      <c r="E120" s="1324">
        <v>4674893.7821321171</v>
      </c>
      <c r="F120" s="1325">
        <v>41050</v>
      </c>
      <c r="G120" s="1325">
        <f t="shared" ref="G120:G183" si="26">EDATE(F120,42)</f>
        <v>42329</v>
      </c>
      <c r="H120" s="1325">
        <v>43208</v>
      </c>
      <c r="I120" s="1325">
        <f t="shared" ref="I120:I183" si="27">H120-G120</f>
        <v>879</v>
      </c>
      <c r="J120" s="1325">
        <f t="shared" ref="J120:J182" si="28">E120*8/100/365*I120</f>
        <v>900653.50893022039</v>
      </c>
      <c r="K120" s="1325">
        <f t="shared" ref="K120:K182" si="29">E120+J120</f>
        <v>5575547.2910623373</v>
      </c>
      <c r="L120" s="1339">
        <v>4819348</v>
      </c>
      <c r="M120" s="1336">
        <f t="shared" si="14"/>
        <v>928483.70235616446</v>
      </c>
      <c r="N120" s="1339">
        <v>4819348</v>
      </c>
      <c r="O120" s="1336">
        <v>4819348</v>
      </c>
      <c r="P120" s="1339">
        <v>2131090.488328767</v>
      </c>
      <c r="Q120" s="1339">
        <v>4819348</v>
      </c>
      <c r="R120" s="1336">
        <f t="shared" si="17"/>
        <v>4674893.7821321171</v>
      </c>
      <c r="S120" s="1336">
        <f t="shared" si="21"/>
        <v>6805984.2704608841</v>
      </c>
      <c r="T120" s="1350">
        <f t="shared" si="18"/>
        <v>0</v>
      </c>
      <c r="U120" s="1346" t="s">
        <v>3656</v>
      </c>
      <c r="V120" s="1306"/>
    </row>
    <row r="121" spans="2:22" ht="30">
      <c r="B121" s="1323">
        <v>116</v>
      </c>
      <c r="C121" s="1376" t="s">
        <v>3448</v>
      </c>
      <c r="D121" s="621" t="s">
        <v>3657</v>
      </c>
      <c r="E121" s="1324">
        <v>4948798.1375497133</v>
      </c>
      <c r="F121" s="1325">
        <v>41455</v>
      </c>
      <c r="G121" s="1325">
        <f t="shared" si="26"/>
        <v>42734</v>
      </c>
      <c r="H121" s="1325">
        <v>43208</v>
      </c>
      <c r="I121" s="1325">
        <f t="shared" si="27"/>
        <v>474</v>
      </c>
      <c r="J121" s="1325">
        <f t="shared" si="28"/>
        <v>514132.67226269894</v>
      </c>
      <c r="K121" s="1325">
        <f t="shared" si="29"/>
        <v>5462930.8098124126</v>
      </c>
      <c r="L121" s="1339">
        <v>5207616</v>
      </c>
      <c r="M121" s="1336">
        <f t="shared" si="14"/>
        <v>541021.36635616445</v>
      </c>
      <c r="N121" s="1339">
        <v>5101716</v>
      </c>
      <c r="O121" s="1336">
        <f>VLOOKUP(C121,'[1]Interest as per us on payment b'!C132:D317,2,0)</f>
        <v>5101716</v>
      </c>
      <c r="P121" s="1339">
        <v>2227943.3240547944</v>
      </c>
      <c r="Q121" s="1339">
        <v>5101716</v>
      </c>
      <c r="R121" s="1336">
        <f t="shared" si="17"/>
        <v>4948798.1375497133</v>
      </c>
      <c r="S121" s="1336">
        <f t="shared" si="21"/>
        <v>7176741.4616045076</v>
      </c>
      <c r="T121" s="1350">
        <f t="shared" si="18"/>
        <v>105900</v>
      </c>
      <c r="U121" s="1346" t="s">
        <v>3656</v>
      </c>
      <c r="V121" s="1306"/>
    </row>
    <row r="122" spans="2:22">
      <c r="B122" s="1323">
        <v>117</v>
      </c>
      <c r="C122" s="1376" t="s">
        <v>3449</v>
      </c>
      <c r="D122" s="621" t="s">
        <v>3658</v>
      </c>
      <c r="E122" s="1324">
        <v>5165586.3808322819</v>
      </c>
      <c r="F122" s="1325">
        <v>41499</v>
      </c>
      <c r="G122" s="1325">
        <f t="shared" si="26"/>
        <v>42779</v>
      </c>
      <c r="H122" s="1325">
        <v>43208</v>
      </c>
      <c r="I122" s="1325">
        <f t="shared" si="27"/>
        <v>429</v>
      </c>
      <c r="J122" s="1325">
        <f t="shared" si="28"/>
        <v>485706.64271277789</v>
      </c>
      <c r="K122" s="1325">
        <f t="shared" si="29"/>
        <v>5651293.0235450594</v>
      </c>
      <c r="L122" s="1339">
        <v>5349280</v>
      </c>
      <c r="M122" s="1336">
        <f t="shared" si="14"/>
        <v>502978.8756164384</v>
      </c>
      <c r="N122" s="1339">
        <v>5325203</v>
      </c>
      <c r="O122" s="1336">
        <v>5349279</v>
      </c>
      <c r="P122" s="1339">
        <v>2430345.3852054793</v>
      </c>
      <c r="Q122" s="1339">
        <v>5325203</v>
      </c>
      <c r="R122" s="1336">
        <f t="shared" si="17"/>
        <v>5165586.3808322819</v>
      </c>
      <c r="S122" s="1336">
        <f t="shared" si="21"/>
        <v>7595931.7660377612</v>
      </c>
      <c r="T122" s="1350">
        <f t="shared" si="18"/>
        <v>24077</v>
      </c>
      <c r="U122" s="1346" t="s">
        <v>3573</v>
      </c>
      <c r="V122" s="1306"/>
    </row>
    <row r="123" spans="2:22" ht="30">
      <c r="B123" s="1323">
        <v>118</v>
      </c>
      <c r="C123" s="1376" t="s">
        <v>3261</v>
      </c>
      <c r="D123" s="621" t="s">
        <v>3659</v>
      </c>
      <c r="E123" s="1324">
        <v>3285354.5445727035</v>
      </c>
      <c r="F123" s="1325">
        <v>41019</v>
      </c>
      <c r="G123" s="1325">
        <f t="shared" si="26"/>
        <v>42297</v>
      </c>
      <c r="H123" s="1325">
        <v>43208</v>
      </c>
      <c r="I123" s="1325">
        <f t="shared" si="27"/>
        <v>911</v>
      </c>
      <c r="J123" s="1325">
        <f t="shared" si="28"/>
        <v>655990.79235194146</v>
      </c>
      <c r="K123" s="1325">
        <f t="shared" si="29"/>
        <v>3941345.3369246451</v>
      </c>
      <c r="L123" s="1339">
        <v>48000097</v>
      </c>
      <c r="M123" s="1336">
        <f t="shared" si="14"/>
        <v>9584238.5461917799</v>
      </c>
      <c r="N123" s="1339">
        <v>3386872</v>
      </c>
      <c r="O123" s="1336">
        <v>0</v>
      </c>
      <c r="P123" s="1339">
        <v>1368522.8184109589</v>
      </c>
      <c r="Q123" s="1339">
        <v>3386872</v>
      </c>
      <c r="R123" s="1336">
        <f t="shared" si="17"/>
        <v>3285354.5445727035</v>
      </c>
      <c r="S123" s="1336">
        <f t="shared" si="21"/>
        <v>4653877.3629836626</v>
      </c>
      <c r="T123" s="1496">
        <f>+L123-(S123+S124+S125+S126+S127)</f>
        <v>17257074.689918891</v>
      </c>
      <c r="U123" s="1346"/>
      <c r="V123" s="1306"/>
    </row>
    <row r="124" spans="2:22" ht="30">
      <c r="B124" s="1323">
        <v>119</v>
      </c>
      <c r="C124" s="1376" t="s">
        <v>3261</v>
      </c>
      <c r="D124" s="621" t="s">
        <v>3660</v>
      </c>
      <c r="E124" s="1324">
        <v>2861100.9797264524</v>
      </c>
      <c r="F124" s="1325">
        <v>41019</v>
      </c>
      <c r="G124" s="1325">
        <f t="shared" si="26"/>
        <v>42297</v>
      </c>
      <c r="H124" s="1325">
        <v>43208</v>
      </c>
      <c r="I124" s="1325">
        <f t="shared" si="27"/>
        <v>911</v>
      </c>
      <c r="J124" s="1325">
        <f t="shared" si="28"/>
        <v>571279.56000675028</v>
      </c>
      <c r="K124" s="1325">
        <f t="shared" si="29"/>
        <v>3432380.5397332027</v>
      </c>
      <c r="L124" s="1339">
        <v>0</v>
      </c>
      <c r="M124" s="1336">
        <f t="shared" si="14"/>
        <v>0</v>
      </c>
      <c r="N124" s="1339">
        <v>2949509</v>
      </c>
      <c r="O124" s="1336">
        <v>0</v>
      </c>
      <c r="P124" s="1339">
        <v>1228679.5921095889</v>
      </c>
      <c r="Q124" s="1339">
        <v>2949509</v>
      </c>
      <c r="R124" s="1336">
        <f t="shared" si="17"/>
        <v>2861100.9797264524</v>
      </c>
      <c r="S124" s="1336">
        <f t="shared" si="21"/>
        <v>4089780.5718360413</v>
      </c>
      <c r="T124" s="1496"/>
      <c r="U124" s="1346"/>
      <c r="V124" s="1306"/>
    </row>
    <row r="125" spans="2:22" ht="30">
      <c r="B125" s="1323">
        <v>120</v>
      </c>
      <c r="C125" s="1376" t="s">
        <v>3261</v>
      </c>
      <c r="D125" s="621" t="s">
        <v>3661</v>
      </c>
      <c r="E125" s="1324">
        <v>5067067.6108254921</v>
      </c>
      <c r="F125" s="1325">
        <v>41159</v>
      </c>
      <c r="G125" s="1325">
        <f t="shared" si="26"/>
        <v>42436</v>
      </c>
      <c r="H125" s="1325">
        <v>43208</v>
      </c>
      <c r="I125" s="1325">
        <f t="shared" si="27"/>
        <v>772</v>
      </c>
      <c r="J125" s="1325">
        <f t="shared" si="28"/>
        <v>857375.60450570518</v>
      </c>
      <c r="K125" s="1325">
        <f t="shared" si="29"/>
        <v>5924443.2153311968</v>
      </c>
      <c r="L125" s="1339">
        <v>0</v>
      </c>
      <c r="M125" s="1336">
        <f t="shared" si="14"/>
        <v>0</v>
      </c>
      <c r="N125" s="1339">
        <v>5223640</v>
      </c>
      <c r="O125" s="1336">
        <v>0</v>
      </c>
      <c r="P125" s="1339">
        <v>2167080.3905753428</v>
      </c>
      <c r="Q125" s="1339">
        <v>5223640</v>
      </c>
      <c r="R125" s="1336">
        <f t="shared" si="17"/>
        <v>5067067.6108254921</v>
      </c>
      <c r="S125" s="1336">
        <f t="shared" si="21"/>
        <v>7234148.0014008349</v>
      </c>
      <c r="T125" s="1496"/>
      <c r="U125" s="1346"/>
      <c r="V125" s="1306"/>
    </row>
    <row r="126" spans="2:22" ht="30">
      <c r="B126" s="1323">
        <v>121</v>
      </c>
      <c r="C126" s="1376" t="s">
        <v>3261</v>
      </c>
      <c r="D126" s="621" t="s">
        <v>3662</v>
      </c>
      <c r="E126" s="1324">
        <v>5066701.9109515958</v>
      </c>
      <c r="F126" s="1325">
        <v>41019</v>
      </c>
      <c r="G126" s="1325">
        <f t="shared" si="26"/>
        <v>42297</v>
      </c>
      <c r="H126" s="1325">
        <v>43208</v>
      </c>
      <c r="I126" s="1325">
        <f t="shared" si="27"/>
        <v>911</v>
      </c>
      <c r="J126" s="1325">
        <f t="shared" si="28"/>
        <v>1011674.6171784995</v>
      </c>
      <c r="K126" s="1325">
        <f t="shared" si="29"/>
        <v>6078376.5281300955</v>
      </c>
      <c r="L126" s="1339">
        <v>0</v>
      </c>
      <c r="M126" s="1336">
        <f t="shared" si="14"/>
        <v>0</v>
      </c>
      <c r="N126" s="1339">
        <v>5223263</v>
      </c>
      <c r="O126" s="1336">
        <v>0</v>
      </c>
      <c r="P126" s="1339">
        <v>2133986.8431780823</v>
      </c>
      <c r="Q126" s="1339">
        <v>5223263</v>
      </c>
      <c r="R126" s="1336">
        <f t="shared" si="17"/>
        <v>5066701.9109515958</v>
      </c>
      <c r="S126" s="1336">
        <f t="shared" si="21"/>
        <v>7200688.754129678</v>
      </c>
      <c r="T126" s="1496"/>
      <c r="U126" s="1346"/>
      <c r="V126" s="1306"/>
    </row>
    <row r="127" spans="2:22" ht="30">
      <c r="B127" s="1323">
        <v>122</v>
      </c>
      <c r="C127" s="1376" t="s">
        <v>3261</v>
      </c>
      <c r="D127" s="621" t="s">
        <v>3663</v>
      </c>
      <c r="E127" s="1324">
        <v>5315106.217867882</v>
      </c>
      <c r="F127" s="1325">
        <v>41019</v>
      </c>
      <c r="G127" s="1325">
        <f t="shared" si="26"/>
        <v>42297</v>
      </c>
      <c r="H127" s="1325">
        <v>43208</v>
      </c>
      <c r="I127" s="1325">
        <f t="shared" si="27"/>
        <v>911</v>
      </c>
      <c r="J127" s="1325">
        <f t="shared" si="28"/>
        <v>1061273.8113923594</v>
      </c>
      <c r="K127" s="1325">
        <f t="shared" si="29"/>
        <v>6376380.0292602414</v>
      </c>
      <c r="L127" s="1339">
        <v>0</v>
      </c>
      <c r="M127" s="1336">
        <f t="shared" si="14"/>
        <v>0</v>
      </c>
      <c r="N127" s="1339">
        <v>5479343</v>
      </c>
      <c r="O127" s="1336">
        <v>0</v>
      </c>
      <c r="P127" s="1339">
        <v>2249421.4018630139</v>
      </c>
      <c r="Q127" s="1339">
        <v>5479343</v>
      </c>
      <c r="R127" s="1336">
        <f t="shared" si="17"/>
        <v>5315106.217867882</v>
      </c>
      <c r="S127" s="1336">
        <f t="shared" si="21"/>
        <v>7564527.6197308954</v>
      </c>
      <c r="T127" s="1496"/>
      <c r="U127" s="1346"/>
      <c r="V127" s="1306"/>
    </row>
    <row r="128" spans="2:22">
      <c r="B128" s="1323">
        <v>123</v>
      </c>
      <c r="C128" s="1376" t="s">
        <v>3450</v>
      </c>
      <c r="D128" s="621" t="s">
        <v>3664</v>
      </c>
      <c r="E128" s="1324">
        <v>5865808.5168299545</v>
      </c>
      <c r="F128" s="1325">
        <v>41149</v>
      </c>
      <c r="G128" s="1325">
        <f t="shared" si="26"/>
        <v>42428</v>
      </c>
      <c r="H128" s="1325">
        <v>43208</v>
      </c>
      <c r="I128" s="1325">
        <f t="shared" si="27"/>
        <v>780</v>
      </c>
      <c r="J128" s="1325">
        <f t="shared" si="28"/>
        <v>1002812.1957539429</v>
      </c>
      <c r="K128" s="1325">
        <f t="shared" si="29"/>
        <v>6868620.7125838976</v>
      </c>
      <c r="L128" s="1339">
        <v>6056546.5999999996</v>
      </c>
      <c r="M128" s="1336">
        <f t="shared" si="14"/>
        <v>1035420.5694246574</v>
      </c>
      <c r="N128" s="1339">
        <v>6047062</v>
      </c>
      <c r="O128" s="1336">
        <v>6047062</v>
      </c>
      <c r="P128" s="1339">
        <v>2573646.7745753429</v>
      </c>
      <c r="Q128" s="1339">
        <v>6047062</v>
      </c>
      <c r="R128" s="1336">
        <f t="shared" si="17"/>
        <v>5865808.5168299545</v>
      </c>
      <c r="S128" s="1336">
        <f t="shared" si="21"/>
        <v>8439455.2914052978</v>
      </c>
      <c r="T128" s="1350">
        <f t="shared" ref="T128:T139" si="30">+L128-Q128</f>
        <v>9484.5999999996275</v>
      </c>
      <c r="U128" s="1346" t="s">
        <v>3573</v>
      </c>
      <c r="V128" s="1306"/>
    </row>
    <row r="129" spans="2:22">
      <c r="B129" s="1323">
        <v>124</v>
      </c>
      <c r="C129" s="1376" t="s">
        <v>3451</v>
      </c>
      <c r="D129" s="621" t="s">
        <v>3665</v>
      </c>
      <c r="E129" s="1324">
        <v>7652211.6597148124</v>
      </c>
      <c r="F129" s="1325">
        <v>41151</v>
      </c>
      <c r="G129" s="1325">
        <f t="shared" si="26"/>
        <v>42429</v>
      </c>
      <c r="H129" s="1325">
        <v>43208</v>
      </c>
      <c r="I129" s="1325">
        <f t="shared" si="27"/>
        <v>779</v>
      </c>
      <c r="J129" s="1325">
        <f t="shared" si="28"/>
        <v>1306536.522283362</v>
      </c>
      <c r="K129" s="1325">
        <f t="shared" si="29"/>
        <v>8958748.1819981746</v>
      </c>
      <c r="L129" s="1339">
        <v>7888664</v>
      </c>
      <c r="M129" s="1336">
        <f t="shared" si="14"/>
        <v>1346908.3300821919</v>
      </c>
      <c r="N129" s="1339">
        <v>7888665</v>
      </c>
      <c r="O129" s="1336">
        <f>VLOOKUP(C129,'[1]Interest as per us on payment b'!C140:D325,2,0)</f>
        <v>7888664</v>
      </c>
      <c r="P129" s="1339">
        <v>3306540.1152876713</v>
      </c>
      <c r="Q129" s="1339">
        <v>7888664</v>
      </c>
      <c r="R129" s="1336">
        <f t="shared" si="17"/>
        <v>7652210.6896886211</v>
      </c>
      <c r="S129" s="1336">
        <f t="shared" si="21"/>
        <v>10958750.804976292</v>
      </c>
      <c r="T129" s="1350">
        <f t="shared" si="30"/>
        <v>0</v>
      </c>
      <c r="U129" s="1346"/>
      <c r="V129" s="1306"/>
    </row>
    <row r="130" spans="2:22">
      <c r="B130" s="1323">
        <v>125</v>
      </c>
      <c r="C130" s="1376" t="s">
        <v>3257</v>
      </c>
      <c r="D130" s="621" t="s">
        <v>3666</v>
      </c>
      <c r="E130" s="1324">
        <v>7454353.4775438933</v>
      </c>
      <c r="F130" s="1325">
        <v>41086</v>
      </c>
      <c r="G130" s="1325">
        <f t="shared" si="26"/>
        <v>42364</v>
      </c>
      <c r="H130" s="1325">
        <v>43208</v>
      </c>
      <c r="I130" s="1325">
        <f t="shared" si="27"/>
        <v>844</v>
      </c>
      <c r="J130" s="1325">
        <f t="shared" si="28"/>
        <v>1378953.2789144211</v>
      </c>
      <c r="K130" s="1325">
        <f t="shared" si="29"/>
        <v>8833306.7564583141</v>
      </c>
      <c r="L130" s="1339">
        <v>7698055</v>
      </c>
      <c r="M130" s="1336">
        <f t="shared" si="14"/>
        <v>1424034.7221917808</v>
      </c>
      <c r="N130" s="1339">
        <v>7684693</v>
      </c>
      <c r="O130" s="1336">
        <v>7684693</v>
      </c>
      <c r="P130" s="1339">
        <v>3217545.4592876709</v>
      </c>
      <c r="Q130" s="1339">
        <v>7684693</v>
      </c>
      <c r="R130" s="1336">
        <f t="shared" si="17"/>
        <v>7454353.4775438933</v>
      </c>
      <c r="S130" s="1336">
        <f t="shared" si="21"/>
        <v>10671898.936831564</v>
      </c>
      <c r="T130" s="1350">
        <f t="shared" si="30"/>
        <v>13362</v>
      </c>
      <c r="U130" s="1346" t="s">
        <v>3656</v>
      </c>
      <c r="V130" s="1306"/>
    </row>
    <row r="131" spans="2:22">
      <c r="B131" s="1323">
        <v>126</v>
      </c>
      <c r="C131" s="1376" t="s">
        <v>3452</v>
      </c>
      <c r="D131" s="621" t="s">
        <v>3667</v>
      </c>
      <c r="E131" s="1324">
        <v>6456573.867494422</v>
      </c>
      <c r="F131" s="1325">
        <v>41122</v>
      </c>
      <c r="G131" s="1325">
        <f t="shared" si="26"/>
        <v>42401</v>
      </c>
      <c r="H131" s="1325">
        <v>43208</v>
      </c>
      <c r="I131" s="1325">
        <f t="shared" si="27"/>
        <v>807</v>
      </c>
      <c r="J131" s="1325">
        <f t="shared" si="28"/>
        <v>1142017.5585902464</v>
      </c>
      <c r="K131" s="1325">
        <f t="shared" si="29"/>
        <v>7598591.4260846684</v>
      </c>
      <c r="L131" s="1339">
        <v>6683178</v>
      </c>
      <c r="M131" s="1336">
        <f t="shared" si="14"/>
        <v>1182098.5525479452</v>
      </c>
      <c r="N131" s="1339">
        <v>6656082</v>
      </c>
      <c r="O131" s="1336">
        <v>6682876</v>
      </c>
      <c r="P131" s="1339">
        <v>2807704.8195068496</v>
      </c>
      <c r="Q131" s="1339">
        <v>6656082</v>
      </c>
      <c r="R131" s="1336">
        <f t="shared" si="17"/>
        <v>6456573.867494422</v>
      </c>
      <c r="S131" s="1336">
        <f t="shared" si="21"/>
        <v>9264278.6870012712</v>
      </c>
      <c r="T131" s="1350">
        <f t="shared" si="30"/>
        <v>27096</v>
      </c>
      <c r="U131" s="1346"/>
      <c r="V131" s="1306"/>
    </row>
    <row r="132" spans="2:22" ht="30">
      <c r="B132" s="1323">
        <v>127</v>
      </c>
      <c r="C132" s="1376" t="s">
        <v>3453</v>
      </c>
      <c r="D132" s="621" t="s">
        <v>3668</v>
      </c>
      <c r="E132" s="1324">
        <v>7598606.072363954</v>
      </c>
      <c r="F132" s="1325">
        <v>40809</v>
      </c>
      <c r="G132" s="1325">
        <f t="shared" si="26"/>
        <v>42086</v>
      </c>
      <c r="H132" s="1325">
        <v>43208</v>
      </c>
      <c r="I132" s="1325">
        <f t="shared" si="27"/>
        <v>1122</v>
      </c>
      <c r="J132" s="1325">
        <f t="shared" si="28"/>
        <v>1868632.5508366809</v>
      </c>
      <c r="K132" s="1325">
        <f t="shared" si="29"/>
        <v>9467238.6232006345</v>
      </c>
      <c r="L132" s="1339">
        <v>7833403</v>
      </c>
      <c r="M132" s="1336">
        <f t="shared" si="14"/>
        <v>1926373.2966575341</v>
      </c>
      <c r="N132" s="1339">
        <v>7833403</v>
      </c>
      <c r="O132" s="1336">
        <v>7833403</v>
      </c>
      <c r="P132" s="1339">
        <v>3560757.3913424658</v>
      </c>
      <c r="Q132" s="1339">
        <v>7833403</v>
      </c>
      <c r="R132" s="1336">
        <f t="shared" si="17"/>
        <v>7598606.072363954</v>
      </c>
      <c r="S132" s="1336">
        <f t="shared" si="21"/>
        <v>11159363.463706419</v>
      </c>
      <c r="T132" s="1350">
        <f t="shared" si="30"/>
        <v>0</v>
      </c>
      <c r="U132" s="1346"/>
      <c r="V132" s="1306"/>
    </row>
    <row r="133" spans="2:22" ht="30">
      <c r="B133" s="1323">
        <v>128</v>
      </c>
      <c r="C133" s="1376" t="s">
        <v>3454</v>
      </c>
      <c r="D133" s="621" t="s">
        <v>3669</v>
      </c>
      <c r="E133" s="1324">
        <v>5587126.7824231256</v>
      </c>
      <c r="F133" s="1325">
        <v>40627</v>
      </c>
      <c r="G133" s="1325">
        <f t="shared" si="26"/>
        <v>41907</v>
      </c>
      <c r="H133" s="1325">
        <v>43208</v>
      </c>
      <c r="I133" s="1325">
        <f t="shared" si="27"/>
        <v>1301</v>
      </c>
      <c r="J133" s="1325">
        <f t="shared" si="28"/>
        <v>1593173.0288071202</v>
      </c>
      <c r="K133" s="1325">
        <f t="shared" si="29"/>
        <v>7180299.811230246</v>
      </c>
      <c r="L133" s="1339">
        <v>5771232</v>
      </c>
      <c r="M133" s="1336">
        <f t="shared" si="14"/>
        <v>1645670.7576986302</v>
      </c>
      <c r="N133" s="1339">
        <v>5759760</v>
      </c>
      <c r="O133" s="1336">
        <v>5759769</v>
      </c>
      <c r="P133" s="1339">
        <v>2702632.5453150691</v>
      </c>
      <c r="Q133" s="1339">
        <v>5759760</v>
      </c>
      <c r="R133" s="1336">
        <f t="shared" si="17"/>
        <v>5587118.0521874093</v>
      </c>
      <c r="S133" s="1336">
        <f t="shared" si="21"/>
        <v>8289750.5975024784</v>
      </c>
      <c r="T133" s="1350">
        <f t="shared" si="30"/>
        <v>11472</v>
      </c>
      <c r="U133" s="1346" t="s">
        <v>3558</v>
      </c>
      <c r="V133" s="1306"/>
    </row>
    <row r="134" spans="2:22" ht="30">
      <c r="B134" s="1323">
        <v>129</v>
      </c>
      <c r="C134" s="1376" t="s">
        <v>3455</v>
      </c>
      <c r="D134" s="621" t="s">
        <v>3670</v>
      </c>
      <c r="E134" s="1324">
        <v>5400267.727228635</v>
      </c>
      <c r="F134" s="1325">
        <v>40956</v>
      </c>
      <c r="G134" s="1325">
        <f t="shared" si="26"/>
        <v>42233</v>
      </c>
      <c r="H134" s="1325">
        <v>43208</v>
      </c>
      <c r="I134" s="1325">
        <f t="shared" si="27"/>
        <v>975</v>
      </c>
      <c r="J134" s="1325">
        <f t="shared" si="28"/>
        <v>1154029.8156817358</v>
      </c>
      <c r="K134" s="1325">
        <f t="shared" si="29"/>
        <v>6554297.542910371</v>
      </c>
      <c r="L134" s="1339">
        <v>5580700</v>
      </c>
      <c r="M134" s="1336">
        <f t="shared" ref="M134:M162" si="31">+L134*8/100/365*I134</f>
        <v>1192587.9452054796</v>
      </c>
      <c r="N134" s="1339">
        <v>5567136</v>
      </c>
      <c r="O134" s="1336">
        <v>5567136</v>
      </c>
      <c r="P134" s="1339">
        <v>2514279.155068493</v>
      </c>
      <c r="Q134" s="1339">
        <v>5567136</v>
      </c>
      <c r="R134" s="1336">
        <f t="shared" si="17"/>
        <v>5400267.727228635</v>
      </c>
      <c r="S134" s="1336">
        <f t="shared" ref="S134:S162" si="32">+R134+P134</f>
        <v>7914546.8822971284</v>
      </c>
      <c r="T134" s="1350">
        <f t="shared" si="30"/>
        <v>13564</v>
      </c>
      <c r="U134" s="1346" t="s">
        <v>3558</v>
      </c>
      <c r="V134" s="1306"/>
    </row>
    <row r="135" spans="2:22">
      <c r="B135" s="1323">
        <v>130</v>
      </c>
      <c r="C135" s="1376" t="s">
        <v>3456</v>
      </c>
      <c r="D135" s="621" t="s">
        <v>3671</v>
      </c>
      <c r="E135" s="1324">
        <v>5500056.2615190605</v>
      </c>
      <c r="F135" s="1325">
        <v>41221</v>
      </c>
      <c r="G135" s="1325">
        <f t="shared" si="26"/>
        <v>42498</v>
      </c>
      <c r="H135" s="1325">
        <v>43208</v>
      </c>
      <c r="I135" s="1325">
        <f t="shared" si="27"/>
        <v>710</v>
      </c>
      <c r="J135" s="1325">
        <f t="shared" si="28"/>
        <v>855899.16617611679</v>
      </c>
      <c r="K135" s="1325">
        <f t="shared" si="29"/>
        <v>6355955.4276951775</v>
      </c>
      <c r="L135" s="1339">
        <v>5777903</v>
      </c>
      <c r="M135" s="1336">
        <f t="shared" si="31"/>
        <v>899136.68602739729</v>
      </c>
      <c r="N135" s="1339">
        <v>5670007</v>
      </c>
      <c r="O135" s="1336">
        <v>5670007</v>
      </c>
      <c r="P135" s="1339">
        <v>2217950.4872328769</v>
      </c>
      <c r="Q135" s="1339">
        <v>5670007</v>
      </c>
      <c r="R135" s="1336">
        <f t="shared" ref="R135:R195" si="33">+Q135*100/103.09</f>
        <v>5500055.2914928701</v>
      </c>
      <c r="S135" s="1336">
        <f t="shared" si="32"/>
        <v>7718005.778725747</v>
      </c>
      <c r="T135" s="1350">
        <f t="shared" si="30"/>
        <v>107896</v>
      </c>
      <c r="U135" s="1346" t="s">
        <v>3672</v>
      </c>
      <c r="V135" s="1306"/>
    </row>
    <row r="136" spans="2:22">
      <c r="B136" s="1323">
        <v>131</v>
      </c>
      <c r="C136" s="1376" t="s">
        <v>3266</v>
      </c>
      <c r="D136" s="621" t="s">
        <v>3673</v>
      </c>
      <c r="E136" s="1324">
        <v>3547872.7325637792</v>
      </c>
      <c r="F136" s="1325">
        <v>41355</v>
      </c>
      <c r="G136" s="1325">
        <f t="shared" si="26"/>
        <v>42635</v>
      </c>
      <c r="H136" s="1325">
        <v>43208</v>
      </c>
      <c r="I136" s="1325">
        <f t="shared" si="27"/>
        <v>573</v>
      </c>
      <c r="J136" s="1325">
        <f t="shared" si="28"/>
        <v>445573.93441294157</v>
      </c>
      <c r="K136" s="1325">
        <f t="shared" si="29"/>
        <v>3993446.666976721</v>
      </c>
      <c r="L136" s="1339">
        <v>4457763</v>
      </c>
      <c r="M136" s="1336">
        <f t="shared" si="31"/>
        <v>559846.18060273968</v>
      </c>
      <c r="N136" s="1339">
        <v>3657502</v>
      </c>
      <c r="O136" s="1336">
        <v>3657501</v>
      </c>
      <c r="P136" s="1339">
        <v>1481000.343452055</v>
      </c>
      <c r="Q136" s="1339">
        <v>3657502</v>
      </c>
      <c r="R136" s="1336">
        <f t="shared" si="33"/>
        <v>3547872.7325637792</v>
      </c>
      <c r="S136" s="1336">
        <f t="shared" si="32"/>
        <v>5028873.0760158338</v>
      </c>
      <c r="T136" s="1350">
        <f t="shared" si="30"/>
        <v>800261</v>
      </c>
      <c r="U136" s="1346"/>
      <c r="V136" s="1306"/>
    </row>
    <row r="137" spans="2:22">
      <c r="B137" s="1323">
        <v>132</v>
      </c>
      <c r="C137" s="1376" t="s">
        <v>3457</v>
      </c>
      <c r="D137" s="621" t="s">
        <v>3674</v>
      </c>
      <c r="E137" s="1324">
        <v>3547872.7325637792</v>
      </c>
      <c r="F137" s="1325">
        <v>41351</v>
      </c>
      <c r="G137" s="1325">
        <f t="shared" si="26"/>
        <v>42631</v>
      </c>
      <c r="H137" s="1325">
        <v>43208</v>
      </c>
      <c r="I137" s="1325">
        <f t="shared" si="27"/>
        <v>577</v>
      </c>
      <c r="J137" s="1325">
        <f t="shared" si="28"/>
        <v>448684.3981784769</v>
      </c>
      <c r="K137" s="1325">
        <f t="shared" si="29"/>
        <v>3996557.1307422561</v>
      </c>
      <c r="L137" s="1339">
        <v>3789237</v>
      </c>
      <c r="M137" s="1336">
        <f t="shared" si="31"/>
        <v>479208.71210958908</v>
      </c>
      <c r="N137" s="1339">
        <v>3501808</v>
      </c>
      <c r="O137" s="1336">
        <f>VLOOKUP(C137,'[1]Interest as per us on payment b'!C148:D333,2,0)</f>
        <v>3501807</v>
      </c>
      <c r="P137" s="1339">
        <v>1396457.0018630137</v>
      </c>
      <c r="Q137" s="1339">
        <v>3501808</v>
      </c>
      <c r="R137" s="1336">
        <f t="shared" si="33"/>
        <v>3396845.4748278204</v>
      </c>
      <c r="S137" s="1336">
        <f t="shared" si="32"/>
        <v>4793302.4766908344</v>
      </c>
      <c r="T137" s="1350">
        <f t="shared" si="30"/>
        <v>287429</v>
      </c>
      <c r="U137" s="1346"/>
      <c r="V137" s="1306"/>
    </row>
    <row r="138" spans="2:22">
      <c r="B138" s="1323">
        <v>133</v>
      </c>
      <c r="C138" s="1376" t="s">
        <v>3458</v>
      </c>
      <c r="D138" s="621" t="s">
        <v>3675</v>
      </c>
      <c r="E138" s="1324">
        <v>3475921.0398680763</v>
      </c>
      <c r="F138" s="1325">
        <v>40960</v>
      </c>
      <c r="G138" s="1325">
        <f t="shared" si="26"/>
        <v>42237</v>
      </c>
      <c r="H138" s="1325">
        <v>43208</v>
      </c>
      <c r="I138" s="1325">
        <f t="shared" si="27"/>
        <v>971</v>
      </c>
      <c r="J138" s="1325">
        <f t="shared" si="28"/>
        <v>739752.18185466353</v>
      </c>
      <c r="K138" s="1325">
        <f t="shared" si="29"/>
        <v>4215673.2217227397</v>
      </c>
      <c r="L138" s="1339">
        <v>3595848</v>
      </c>
      <c r="M138" s="1336">
        <f t="shared" si="31"/>
        <v>765275.26750684937</v>
      </c>
      <c r="N138" s="1339">
        <v>3583527</v>
      </c>
      <c r="O138" s="1336">
        <v>3589497</v>
      </c>
      <c r="P138" s="1339">
        <v>1595727.2006575342</v>
      </c>
      <c r="Q138" s="1339">
        <v>3583527</v>
      </c>
      <c r="R138" s="1336">
        <f t="shared" si="33"/>
        <v>3476115.0451062177</v>
      </c>
      <c r="S138" s="1336">
        <f t="shared" si="32"/>
        <v>5071842.2457637517</v>
      </c>
      <c r="T138" s="1350">
        <f t="shared" si="30"/>
        <v>12321</v>
      </c>
      <c r="U138" s="1346"/>
      <c r="V138" s="1306"/>
    </row>
    <row r="139" spans="2:22" ht="30">
      <c r="B139" s="1323">
        <v>134</v>
      </c>
      <c r="C139" s="1376" t="s">
        <v>3459</v>
      </c>
      <c r="D139" s="621" t="s">
        <v>3676</v>
      </c>
      <c r="E139" s="1324">
        <v>7643072.0729459692</v>
      </c>
      <c r="F139" s="1325">
        <v>41156</v>
      </c>
      <c r="G139" s="1325">
        <f t="shared" si="26"/>
        <v>42433</v>
      </c>
      <c r="H139" s="1325">
        <v>43208</v>
      </c>
      <c r="I139" s="1325">
        <f t="shared" si="27"/>
        <v>775</v>
      </c>
      <c r="J139" s="1325">
        <f t="shared" si="28"/>
        <v>1298275.2562264386</v>
      </c>
      <c r="K139" s="1325">
        <f t="shared" si="29"/>
        <v>8941347.3291724082</v>
      </c>
      <c r="L139" s="1339">
        <v>7884711</v>
      </c>
      <c r="M139" s="1336">
        <f t="shared" si="31"/>
        <v>1339320.7726027397</v>
      </c>
      <c r="N139" s="1339">
        <v>7879243</v>
      </c>
      <c r="O139" s="1336">
        <f>VLOOKUP(C139,'[1]Interest as per us on payment b'!C150:D335,2,0)</f>
        <v>7879242</v>
      </c>
      <c r="P139" s="1339">
        <v>3309756.7421369869</v>
      </c>
      <c r="Q139" s="1339">
        <v>7879243</v>
      </c>
      <c r="R139" s="1336">
        <f t="shared" si="33"/>
        <v>7643072.0729459692</v>
      </c>
      <c r="S139" s="1336">
        <f t="shared" si="32"/>
        <v>10952828.815082956</v>
      </c>
      <c r="T139" s="1350">
        <f t="shared" si="30"/>
        <v>5468</v>
      </c>
      <c r="U139" s="1346" t="s">
        <v>3573</v>
      </c>
      <c r="V139" s="1306"/>
    </row>
    <row r="140" spans="2:22" ht="30">
      <c r="B140" s="1323">
        <v>135</v>
      </c>
      <c r="C140" s="1376" t="s">
        <v>3460</v>
      </c>
      <c r="D140" s="621" t="s">
        <v>3677</v>
      </c>
      <c r="E140" s="1324">
        <v>5031963.3330099909</v>
      </c>
      <c r="F140" s="1325">
        <v>40637</v>
      </c>
      <c r="G140" s="1325">
        <f t="shared" si="26"/>
        <v>41916</v>
      </c>
      <c r="H140" s="1325">
        <v>43208</v>
      </c>
      <c r="I140" s="1325">
        <f t="shared" si="27"/>
        <v>1292</v>
      </c>
      <c r="J140" s="1325">
        <f t="shared" si="28"/>
        <v>1424941.7263011306</v>
      </c>
      <c r="K140" s="1325">
        <f t="shared" si="29"/>
        <v>6456905.0593111217</v>
      </c>
      <c r="L140" s="1339">
        <v>4094533</v>
      </c>
      <c r="M140" s="1336">
        <f t="shared" si="31"/>
        <v>1159482.002410959</v>
      </c>
      <c r="N140" s="1339">
        <v>5196812</v>
      </c>
      <c r="O140" s="1336">
        <v>5263007</v>
      </c>
      <c r="P140" s="1339">
        <v>2373964.1233972604</v>
      </c>
      <c r="Q140" s="1339">
        <v>5196812</v>
      </c>
      <c r="R140" s="1336">
        <f t="shared" si="33"/>
        <v>5041043.7481812006</v>
      </c>
      <c r="S140" s="1336">
        <f t="shared" si="32"/>
        <v>7415007.8715784606</v>
      </c>
      <c r="T140" s="1350">
        <v>0</v>
      </c>
      <c r="U140" s="1346" t="s">
        <v>3678</v>
      </c>
      <c r="V140" s="1306"/>
    </row>
    <row r="141" spans="2:22">
      <c r="B141" s="1323">
        <v>136</v>
      </c>
      <c r="C141" s="1376" t="s">
        <v>3461</v>
      </c>
      <c r="D141" s="621" t="s">
        <v>3679</v>
      </c>
      <c r="E141" s="1324">
        <v>5031963.3330099909</v>
      </c>
      <c r="F141" s="1325">
        <v>41100</v>
      </c>
      <c r="G141" s="1325">
        <f t="shared" si="26"/>
        <v>42379</v>
      </c>
      <c r="H141" s="1325">
        <v>43208</v>
      </c>
      <c r="I141" s="1325">
        <f t="shared" si="27"/>
        <v>829</v>
      </c>
      <c r="J141" s="1325">
        <f t="shared" si="28"/>
        <v>914300.8445074592</v>
      </c>
      <c r="K141" s="1325">
        <f t="shared" si="29"/>
        <v>5946264.1775174504</v>
      </c>
      <c r="L141" s="1339">
        <v>6722241</v>
      </c>
      <c r="M141" s="1336">
        <f t="shared" si="31"/>
        <v>1221421.9811506851</v>
      </c>
      <c r="N141" s="1339">
        <v>6693998</v>
      </c>
      <c r="O141" s="1336">
        <v>6693997</v>
      </c>
      <c r="P141" s="1339">
        <v>2854900.6855890411</v>
      </c>
      <c r="Q141" s="1339">
        <v>6693998</v>
      </c>
      <c r="R141" s="1336">
        <f t="shared" si="33"/>
        <v>6493353.3805412743</v>
      </c>
      <c r="S141" s="1336">
        <f t="shared" si="32"/>
        <v>9348254.0661303159</v>
      </c>
      <c r="T141" s="1350">
        <f t="shared" ref="T141:T153" si="34">+L141-Q141</f>
        <v>28243</v>
      </c>
      <c r="U141" s="1346" t="s">
        <v>3573</v>
      </c>
      <c r="V141" s="1306"/>
    </row>
    <row r="142" spans="2:22">
      <c r="B142" s="1323">
        <v>137</v>
      </c>
      <c r="C142" s="1376" t="s">
        <v>3462</v>
      </c>
      <c r="D142" s="621" t="s">
        <v>3680</v>
      </c>
      <c r="E142" s="1324">
        <v>6313597.8271413324</v>
      </c>
      <c r="F142" s="1325">
        <v>41001</v>
      </c>
      <c r="G142" s="1325">
        <f t="shared" si="26"/>
        <v>42279</v>
      </c>
      <c r="H142" s="1325">
        <v>43208</v>
      </c>
      <c r="I142" s="1325">
        <f t="shared" si="27"/>
        <v>929</v>
      </c>
      <c r="J142" s="1325">
        <f t="shared" si="28"/>
        <v>1285552.3027757364</v>
      </c>
      <c r="K142" s="1325">
        <f t="shared" si="29"/>
        <v>7599150.1299170684</v>
      </c>
      <c r="L142" s="1339">
        <v>6523962</v>
      </c>
      <c r="M142" s="1336">
        <f t="shared" si="31"/>
        <v>1328385.9064109591</v>
      </c>
      <c r="N142" s="1339">
        <v>6508688</v>
      </c>
      <c r="O142" s="1336">
        <v>6508686</v>
      </c>
      <c r="P142" s="1339">
        <v>2996339.1202191785</v>
      </c>
      <c r="Q142" s="1339">
        <v>6508688</v>
      </c>
      <c r="R142" s="1336">
        <f t="shared" si="33"/>
        <v>6313597.8271413324</v>
      </c>
      <c r="S142" s="1336">
        <f t="shared" si="32"/>
        <v>9309936.9473605119</v>
      </c>
      <c r="T142" s="1350">
        <f t="shared" si="34"/>
        <v>15274</v>
      </c>
      <c r="U142" s="1346" t="s">
        <v>3558</v>
      </c>
      <c r="V142" s="1306"/>
    </row>
    <row r="143" spans="2:22">
      <c r="B143" s="1323">
        <v>138</v>
      </c>
      <c r="C143" s="1376" t="s">
        <v>3264</v>
      </c>
      <c r="D143" s="621" t="s">
        <v>3681</v>
      </c>
      <c r="E143" s="1324">
        <v>3303800.5626151906</v>
      </c>
      <c r="F143" s="1325">
        <v>40974</v>
      </c>
      <c r="G143" s="1325">
        <f t="shared" si="26"/>
        <v>42253</v>
      </c>
      <c r="H143" s="1325">
        <v>43208</v>
      </c>
      <c r="I143" s="1325">
        <f t="shared" si="27"/>
        <v>955</v>
      </c>
      <c r="J143" s="1325">
        <f t="shared" si="28"/>
        <v>691535.24105150835</v>
      </c>
      <c r="K143" s="1325">
        <f t="shared" si="29"/>
        <v>3995335.8036666987</v>
      </c>
      <c r="L143" s="1339">
        <v>3405887</v>
      </c>
      <c r="M143" s="1336">
        <f t="shared" si="31"/>
        <v>712903.4706849315</v>
      </c>
      <c r="N143" s="1339">
        <v>3405888</v>
      </c>
      <c r="O143" s="1336">
        <v>3405887</v>
      </c>
      <c r="P143" s="1339">
        <v>1579127.0305753425</v>
      </c>
      <c r="Q143" s="1339">
        <v>3405887</v>
      </c>
      <c r="R143" s="1336">
        <f t="shared" si="33"/>
        <v>3303799.5925889998</v>
      </c>
      <c r="S143" s="1336">
        <f t="shared" si="32"/>
        <v>4882926.6231643427</v>
      </c>
      <c r="T143" s="1350">
        <f t="shared" si="34"/>
        <v>0</v>
      </c>
      <c r="U143" s="1346"/>
      <c r="V143" s="1306"/>
    </row>
    <row r="144" spans="2:22">
      <c r="B144" s="1323">
        <v>139</v>
      </c>
      <c r="C144" s="1376" t="s">
        <v>3265</v>
      </c>
      <c r="D144" s="621" t="s">
        <v>3682</v>
      </c>
      <c r="E144" s="1324">
        <v>5858889.32001164</v>
      </c>
      <c r="F144" s="1325">
        <v>41183</v>
      </c>
      <c r="G144" s="1325">
        <f t="shared" si="26"/>
        <v>42461</v>
      </c>
      <c r="H144" s="1325">
        <v>43208</v>
      </c>
      <c r="I144" s="1325">
        <f t="shared" si="27"/>
        <v>747</v>
      </c>
      <c r="J144" s="1325">
        <f t="shared" si="28"/>
        <v>959252.67332574143</v>
      </c>
      <c r="K144" s="1325">
        <f t="shared" si="29"/>
        <v>6818141.9933373816</v>
      </c>
      <c r="L144" s="1339">
        <v>6047062</v>
      </c>
      <c r="M144" s="1336">
        <f t="shared" si="31"/>
        <v>990061.43868493161</v>
      </c>
      <c r="N144" s="1339">
        <v>6039929</v>
      </c>
      <c r="O144" s="1336">
        <v>6039929</v>
      </c>
      <c r="P144" s="1339">
        <v>2550664.6073424658</v>
      </c>
      <c r="Q144" s="1339">
        <v>6039929</v>
      </c>
      <c r="R144" s="1336">
        <f t="shared" si="33"/>
        <v>5858889.32001164</v>
      </c>
      <c r="S144" s="1336">
        <f t="shared" si="32"/>
        <v>8409553.9273541048</v>
      </c>
      <c r="T144" s="1350">
        <f t="shared" si="34"/>
        <v>7133</v>
      </c>
      <c r="U144" s="1346" t="s">
        <v>3573</v>
      </c>
      <c r="V144" s="1306"/>
    </row>
    <row r="145" spans="2:22">
      <c r="B145" s="1323">
        <v>140</v>
      </c>
      <c r="C145" s="1376" t="s">
        <v>3463</v>
      </c>
      <c r="D145" s="621" t="s">
        <v>3683</v>
      </c>
      <c r="E145" s="1324">
        <v>4484575.6135415658</v>
      </c>
      <c r="F145" s="1325">
        <v>41134</v>
      </c>
      <c r="G145" s="1325">
        <f t="shared" si="26"/>
        <v>42413</v>
      </c>
      <c r="H145" s="1325">
        <v>43208</v>
      </c>
      <c r="I145" s="1325">
        <f t="shared" si="27"/>
        <v>795</v>
      </c>
      <c r="J145" s="1325">
        <f t="shared" si="28"/>
        <v>781421.94252395502</v>
      </c>
      <c r="K145" s="1325">
        <f t="shared" si="29"/>
        <v>5265997.5560655212</v>
      </c>
      <c r="L145" s="1339">
        <v>4623149</v>
      </c>
      <c r="M145" s="1336">
        <f t="shared" si="31"/>
        <v>805567.88054794515</v>
      </c>
      <c r="N145" s="1339">
        <v>4623149</v>
      </c>
      <c r="O145" s="1336">
        <v>4623147</v>
      </c>
      <c r="P145" s="1339">
        <v>1985729.890410959</v>
      </c>
      <c r="Q145" s="1339">
        <v>4623149</v>
      </c>
      <c r="R145" s="1336">
        <f t="shared" si="33"/>
        <v>4484575.6135415658</v>
      </c>
      <c r="S145" s="1336">
        <f t="shared" si="32"/>
        <v>6470305.5039525246</v>
      </c>
      <c r="T145" s="1350">
        <f t="shared" si="34"/>
        <v>0</v>
      </c>
      <c r="U145" s="1346"/>
      <c r="V145" s="1306"/>
    </row>
    <row r="146" spans="2:22" ht="30">
      <c r="B146" s="1323">
        <v>141</v>
      </c>
      <c r="C146" s="1376" t="s">
        <v>3684</v>
      </c>
      <c r="D146" s="621" t="s">
        <v>3685</v>
      </c>
      <c r="E146" s="1324">
        <v>5416234.3583276747</v>
      </c>
      <c r="F146" s="1325">
        <v>41044</v>
      </c>
      <c r="G146" s="1325">
        <f t="shared" si="26"/>
        <v>42323</v>
      </c>
      <c r="H146" s="1325">
        <v>43208</v>
      </c>
      <c r="I146" s="1325">
        <f t="shared" si="27"/>
        <v>885</v>
      </c>
      <c r="J146" s="1325">
        <f t="shared" si="28"/>
        <v>1050601.0755331491</v>
      </c>
      <c r="K146" s="1325">
        <f t="shared" si="29"/>
        <v>6466835.4338608235</v>
      </c>
      <c r="L146" s="1339">
        <v>7913051</v>
      </c>
      <c r="M146" s="1336">
        <f t="shared" si="31"/>
        <v>1534915.0980821918</v>
      </c>
      <c r="N146" s="1339">
        <v>5583596</v>
      </c>
      <c r="O146" s="1336">
        <v>5583593</v>
      </c>
      <c r="P146" s="1339">
        <v>2392243.9467397262</v>
      </c>
      <c r="Q146" s="1339">
        <v>5583596</v>
      </c>
      <c r="R146" s="1336">
        <f t="shared" si="33"/>
        <v>5416234.3583276747</v>
      </c>
      <c r="S146" s="1336">
        <f t="shared" si="32"/>
        <v>7808478.3050674014</v>
      </c>
      <c r="T146" s="1350">
        <f t="shared" si="34"/>
        <v>2329455</v>
      </c>
      <c r="U146" s="1346" t="s">
        <v>3686</v>
      </c>
      <c r="V146" s="1306"/>
    </row>
    <row r="147" spans="2:22">
      <c r="B147" s="1323">
        <v>142</v>
      </c>
      <c r="C147" s="1376" t="s">
        <v>3263</v>
      </c>
      <c r="D147" s="621" t="s">
        <v>3687</v>
      </c>
      <c r="E147" s="1324">
        <v>5767549.7138422737</v>
      </c>
      <c r="F147" s="1325">
        <v>40955</v>
      </c>
      <c r="G147" s="1325">
        <f t="shared" si="26"/>
        <v>42232</v>
      </c>
      <c r="H147" s="1325">
        <v>43208</v>
      </c>
      <c r="I147" s="1325">
        <f t="shared" si="27"/>
        <v>976</v>
      </c>
      <c r="J147" s="1325">
        <f t="shared" si="28"/>
        <v>1233781.5935802869</v>
      </c>
      <c r="K147" s="1325">
        <f t="shared" si="29"/>
        <v>7001331.3074225606</v>
      </c>
      <c r="L147" s="1339">
        <v>5987295</v>
      </c>
      <c r="M147" s="1336">
        <f t="shared" si="31"/>
        <v>1280789.0235616437</v>
      </c>
      <c r="N147" s="1339">
        <v>5945767</v>
      </c>
      <c r="O147" s="1336">
        <v>5945766</v>
      </c>
      <c r="P147" s="1339">
        <v>2710195.4921643836</v>
      </c>
      <c r="Q147" s="1339">
        <v>5945767</v>
      </c>
      <c r="R147" s="1336">
        <f t="shared" si="33"/>
        <v>5767549.7138422737</v>
      </c>
      <c r="S147" s="1336">
        <f t="shared" si="32"/>
        <v>8477745.2060066573</v>
      </c>
      <c r="T147" s="1350">
        <f t="shared" si="34"/>
        <v>41528</v>
      </c>
      <c r="U147" s="1346"/>
      <c r="V147" s="1306"/>
    </row>
    <row r="148" spans="2:22">
      <c r="B148" s="1323">
        <v>143</v>
      </c>
      <c r="C148" s="1376" t="s">
        <v>3464</v>
      </c>
      <c r="D148" s="621" t="s">
        <v>3688</v>
      </c>
      <c r="E148" s="1324">
        <v>6399349.1124260351</v>
      </c>
      <c r="F148" s="1325">
        <v>41061</v>
      </c>
      <c r="G148" s="1325">
        <f t="shared" si="26"/>
        <v>42339</v>
      </c>
      <c r="H148" s="1325">
        <v>43208</v>
      </c>
      <c r="I148" s="1325">
        <f t="shared" si="27"/>
        <v>869</v>
      </c>
      <c r="J148" s="1325">
        <f t="shared" si="28"/>
        <v>1218856.8501256383</v>
      </c>
      <c r="K148" s="1325">
        <f t="shared" si="29"/>
        <v>7618205.9625516739</v>
      </c>
      <c r="L148" s="1339">
        <v>6598999</v>
      </c>
      <c r="M148" s="1336">
        <f t="shared" si="31"/>
        <v>1256883.3163835618</v>
      </c>
      <c r="N148" s="1339">
        <v>6597080</v>
      </c>
      <c r="O148" s="1336">
        <v>6598999</v>
      </c>
      <c r="P148" s="1339">
        <v>3034446.8743013702</v>
      </c>
      <c r="Q148" s="1339">
        <v>6597080</v>
      </c>
      <c r="R148" s="1336">
        <f t="shared" si="33"/>
        <v>6399340.3821903188</v>
      </c>
      <c r="S148" s="1336">
        <f t="shared" si="32"/>
        <v>9433787.256491689</v>
      </c>
      <c r="T148" s="1350">
        <f t="shared" si="34"/>
        <v>1919</v>
      </c>
      <c r="U148" s="1346" t="s">
        <v>3573</v>
      </c>
      <c r="V148" s="1306"/>
    </row>
    <row r="149" spans="2:22">
      <c r="B149" s="1323">
        <v>144</v>
      </c>
      <c r="C149" s="1376" t="s">
        <v>3465</v>
      </c>
      <c r="D149" s="621" t="s">
        <v>3689</v>
      </c>
      <c r="E149" s="1324">
        <v>5987016.1994373845</v>
      </c>
      <c r="F149" s="1325">
        <v>41192</v>
      </c>
      <c r="G149" s="1325">
        <f t="shared" si="26"/>
        <v>42470</v>
      </c>
      <c r="H149" s="1325">
        <v>43208</v>
      </c>
      <c r="I149" s="1325">
        <f t="shared" si="27"/>
        <v>738</v>
      </c>
      <c r="J149" s="1325">
        <f t="shared" si="28"/>
        <v>968420.37373913208</v>
      </c>
      <c r="K149" s="1325">
        <f t="shared" si="29"/>
        <v>6955436.5731765162</v>
      </c>
      <c r="L149" s="1339">
        <v>6172015</v>
      </c>
      <c r="M149" s="1336">
        <f t="shared" si="31"/>
        <v>998344.56328767131</v>
      </c>
      <c r="N149" s="1339">
        <v>6172015</v>
      </c>
      <c r="O149" s="1336">
        <v>6172015</v>
      </c>
      <c r="P149" s="1339">
        <v>2832075.0115068485</v>
      </c>
      <c r="Q149" s="1339">
        <v>6172015</v>
      </c>
      <c r="R149" s="1336">
        <f t="shared" si="33"/>
        <v>5987016.1994373845</v>
      </c>
      <c r="S149" s="1336">
        <f t="shared" si="32"/>
        <v>8819091.2109442335</v>
      </c>
      <c r="T149" s="1350">
        <f t="shared" si="34"/>
        <v>0</v>
      </c>
      <c r="U149" s="1346"/>
      <c r="V149" s="1306"/>
    </row>
    <row r="150" spans="2:22" ht="30">
      <c r="B150" s="1323">
        <v>145</v>
      </c>
      <c r="C150" s="1376" t="s">
        <v>3466</v>
      </c>
      <c r="D150" s="621" t="s">
        <v>3690</v>
      </c>
      <c r="E150" s="1324">
        <v>6864407.799010573</v>
      </c>
      <c r="F150" s="1325">
        <v>41151</v>
      </c>
      <c r="G150" s="1325">
        <f t="shared" si="26"/>
        <v>42429</v>
      </c>
      <c r="H150" s="1325">
        <v>43208</v>
      </c>
      <c r="I150" s="1325">
        <f t="shared" si="27"/>
        <v>779</v>
      </c>
      <c r="J150" s="1325">
        <f t="shared" si="28"/>
        <v>1172027.1069433941</v>
      </c>
      <c r="K150" s="1325">
        <f t="shared" si="29"/>
        <v>8036434.905953967</v>
      </c>
      <c r="L150" s="1339">
        <v>7022600</v>
      </c>
      <c r="M150" s="1336">
        <f t="shared" si="31"/>
        <v>1199036.8</v>
      </c>
      <c r="N150" s="1339">
        <v>7022600</v>
      </c>
      <c r="O150" s="1336">
        <v>7022600</v>
      </c>
      <c r="P150" s="1339">
        <v>2918155.3972602738</v>
      </c>
      <c r="Q150" s="1339">
        <v>7022600</v>
      </c>
      <c r="R150" s="1336">
        <f t="shared" si="33"/>
        <v>6812105.9268600252</v>
      </c>
      <c r="S150" s="1336">
        <f t="shared" si="32"/>
        <v>9730261.324120298</v>
      </c>
      <c r="T150" s="1350">
        <f t="shared" si="34"/>
        <v>0</v>
      </c>
      <c r="U150" s="1346"/>
      <c r="V150" s="1306"/>
    </row>
    <row r="151" spans="2:22">
      <c r="B151" s="1323">
        <v>146</v>
      </c>
      <c r="C151" s="1376" t="s">
        <v>3467</v>
      </c>
      <c r="D151" s="621" t="s">
        <v>3691</v>
      </c>
      <c r="E151" s="1324">
        <v>6313120.5742555046</v>
      </c>
      <c r="F151" s="1325">
        <v>41550</v>
      </c>
      <c r="G151" s="1325">
        <f t="shared" si="26"/>
        <v>42828</v>
      </c>
      <c r="H151" s="1325">
        <v>43208</v>
      </c>
      <c r="I151" s="1325">
        <f t="shared" si="27"/>
        <v>380</v>
      </c>
      <c r="J151" s="1325">
        <f t="shared" si="28"/>
        <v>525805.11084210232</v>
      </c>
      <c r="K151" s="1325">
        <f t="shared" si="29"/>
        <v>6838925.6850976069</v>
      </c>
      <c r="L151" s="1339">
        <v>6518961</v>
      </c>
      <c r="M151" s="1336">
        <f t="shared" si="31"/>
        <v>542949.08054794522</v>
      </c>
      <c r="N151" s="1339">
        <v>6508196</v>
      </c>
      <c r="O151" s="1336">
        <f>VLOOKUP(C151,'[1]Interest as per us on payment b'!C162:D347,2,0)</f>
        <v>6508195</v>
      </c>
      <c r="P151" s="1339">
        <v>2982628.232109589</v>
      </c>
      <c r="Q151" s="1339">
        <v>6508196</v>
      </c>
      <c r="R151" s="1336">
        <f t="shared" si="33"/>
        <v>6313120.5742555046</v>
      </c>
      <c r="S151" s="1336">
        <f t="shared" si="32"/>
        <v>9295748.8063650932</v>
      </c>
      <c r="T151" s="1350">
        <f t="shared" si="34"/>
        <v>10765</v>
      </c>
      <c r="U151" s="1346" t="s">
        <v>3573</v>
      </c>
      <c r="V151" s="1306"/>
    </row>
    <row r="152" spans="2:22">
      <c r="B152" s="1323">
        <v>147</v>
      </c>
      <c r="C152" s="1376" t="s">
        <v>3262</v>
      </c>
      <c r="D152" s="621" t="s">
        <v>3692</v>
      </c>
      <c r="E152" s="1324">
        <v>8153738.480938985</v>
      </c>
      <c r="F152" s="1325">
        <v>41139</v>
      </c>
      <c r="G152" s="1325">
        <f t="shared" si="26"/>
        <v>42418</v>
      </c>
      <c r="H152" s="1325">
        <v>43208</v>
      </c>
      <c r="I152" s="1325">
        <f t="shared" si="27"/>
        <v>790</v>
      </c>
      <c r="J152" s="1325">
        <f t="shared" si="28"/>
        <v>1411825.4027269697</v>
      </c>
      <c r="K152" s="1325">
        <f t="shared" si="29"/>
        <v>9565563.8836659547</v>
      </c>
      <c r="L152" s="1339">
        <v>8405683</v>
      </c>
      <c r="M152" s="1336">
        <f t="shared" si="31"/>
        <v>1455449.7687671233</v>
      </c>
      <c r="N152" s="1339">
        <v>8405689</v>
      </c>
      <c r="O152" s="1336">
        <v>8405683</v>
      </c>
      <c r="P152" s="1339">
        <v>3604903.3240547939</v>
      </c>
      <c r="Q152" s="1339">
        <v>8405683</v>
      </c>
      <c r="R152" s="1336">
        <f t="shared" si="33"/>
        <v>8153732.6607818408</v>
      </c>
      <c r="S152" s="1336">
        <f t="shared" si="32"/>
        <v>11758635.984836634</v>
      </c>
      <c r="T152" s="1350">
        <f t="shared" si="34"/>
        <v>0</v>
      </c>
      <c r="U152" s="1346"/>
      <c r="V152" s="1306"/>
    </row>
    <row r="153" spans="2:22">
      <c r="B153" s="1323">
        <v>148</v>
      </c>
      <c r="C153" s="1376" t="s">
        <v>3468</v>
      </c>
      <c r="D153" s="621" t="s">
        <v>3693</v>
      </c>
      <c r="E153" s="1324">
        <v>5768803.9577068575</v>
      </c>
      <c r="F153" s="1325">
        <v>41149</v>
      </c>
      <c r="G153" s="1325">
        <f t="shared" si="26"/>
        <v>42428</v>
      </c>
      <c r="H153" s="1325">
        <v>43208</v>
      </c>
      <c r="I153" s="1325">
        <f t="shared" si="27"/>
        <v>780</v>
      </c>
      <c r="J153" s="1325">
        <f t="shared" si="28"/>
        <v>986228.40263262438</v>
      </c>
      <c r="K153" s="1325">
        <f t="shared" si="29"/>
        <v>6755032.3603394814</v>
      </c>
      <c r="L153" s="1339">
        <v>5947060</v>
      </c>
      <c r="M153" s="1336">
        <f t="shared" si="31"/>
        <v>1016702.8602739725</v>
      </c>
      <c r="N153" s="1339">
        <v>5947060</v>
      </c>
      <c r="O153" s="1336">
        <f>VLOOKUP(C153,'[1]Interest as per us on payment b'!C164:D349,2,0)</f>
        <v>5947059</v>
      </c>
      <c r="P153" s="1339">
        <v>2529524.0414246572</v>
      </c>
      <c r="Q153" s="1339">
        <v>5947060</v>
      </c>
      <c r="R153" s="1336">
        <f t="shared" si="33"/>
        <v>5768803.9577068575</v>
      </c>
      <c r="S153" s="1336">
        <f t="shared" si="32"/>
        <v>8298327.9991315147</v>
      </c>
      <c r="T153" s="1350">
        <f t="shared" si="34"/>
        <v>0</v>
      </c>
      <c r="U153" s="1346"/>
      <c r="V153" s="1306"/>
    </row>
    <row r="154" spans="2:22" ht="30">
      <c r="B154" s="1323">
        <v>149</v>
      </c>
      <c r="C154" s="1376" t="s">
        <v>3469</v>
      </c>
      <c r="D154" s="621" t="s">
        <v>3694</v>
      </c>
      <c r="E154" s="1324">
        <v>6618557.5710544186</v>
      </c>
      <c r="F154" s="1325">
        <v>40620</v>
      </c>
      <c r="G154" s="1325">
        <f t="shared" si="26"/>
        <v>41900</v>
      </c>
      <c r="H154" s="1325">
        <v>43208</v>
      </c>
      <c r="I154" s="1325">
        <f t="shared" si="27"/>
        <v>1308</v>
      </c>
      <c r="J154" s="1325">
        <f t="shared" si="28"/>
        <v>1897440.7239318748</v>
      </c>
      <c r="K154" s="1325">
        <f t="shared" si="29"/>
        <v>8515998.2949862927</v>
      </c>
      <c r="L154" s="1339">
        <v>6809280</v>
      </c>
      <c r="M154" s="1336">
        <f t="shared" si="31"/>
        <v>1952117.9704109589</v>
      </c>
      <c r="N154" s="1339">
        <v>6823071</v>
      </c>
      <c r="O154" s="1336">
        <f>VLOOKUP(C154,'[1]Interest as per us on payment b'!C165:D350,2,0)</f>
        <v>6821466</v>
      </c>
      <c r="P154" s="1339">
        <v>3143646.9865205479</v>
      </c>
      <c r="Q154" s="1339">
        <v>6823071</v>
      </c>
      <c r="R154" s="1336">
        <f t="shared" si="33"/>
        <v>6618557.5710544186</v>
      </c>
      <c r="S154" s="1336">
        <f t="shared" si="32"/>
        <v>9762204.5575749669</v>
      </c>
      <c r="T154" s="1350">
        <v>0</v>
      </c>
      <c r="U154" s="1346" t="s">
        <v>3695</v>
      </c>
      <c r="V154" s="1306"/>
    </row>
    <row r="155" spans="2:22" ht="30">
      <c r="B155" s="1323">
        <v>150</v>
      </c>
      <c r="C155" s="1376" t="s">
        <v>3469</v>
      </c>
      <c r="D155" s="621" t="s">
        <v>3696</v>
      </c>
      <c r="E155" s="1324">
        <v>6618557.5710544186</v>
      </c>
      <c r="F155" s="1325">
        <v>40620</v>
      </c>
      <c r="G155" s="1325">
        <f t="shared" si="26"/>
        <v>41900</v>
      </c>
      <c r="H155" s="1325">
        <v>43208</v>
      </c>
      <c r="I155" s="1325">
        <f t="shared" si="27"/>
        <v>1308</v>
      </c>
      <c r="J155" s="1325">
        <f t="shared" si="28"/>
        <v>1897440.7239318748</v>
      </c>
      <c r="K155" s="1325">
        <f t="shared" si="29"/>
        <v>8515998.2949862927</v>
      </c>
      <c r="L155" s="1339">
        <v>6809280</v>
      </c>
      <c r="M155" s="1336">
        <f t="shared" si="31"/>
        <v>1952117.9704109589</v>
      </c>
      <c r="N155" s="1339">
        <v>6823071</v>
      </c>
      <c r="O155" s="1336">
        <f>VLOOKUP(C155,'[1]Interest as per us on payment b'!C166:D351,2,0)</f>
        <v>6821466</v>
      </c>
      <c r="P155" s="1339">
        <v>3143646.9865205479</v>
      </c>
      <c r="Q155" s="1339">
        <v>6823071</v>
      </c>
      <c r="R155" s="1336">
        <f t="shared" si="33"/>
        <v>6618557.5710544186</v>
      </c>
      <c r="S155" s="1336">
        <f t="shared" si="32"/>
        <v>9762204.5575749669</v>
      </c>
      <c r="T155" s="1350">
        <v>0</v>
      </c>
      <c r="U155" s="1346" t="s">
        <v>3695</v>
      </c>
      <c r="V155" s="1306"/>
    </row>
    <row r="156" spans="2:22">
      <c r="B156" s="1323">
        <v>151</v>
      </c>
      <c r="C156" s="1376" t="s">
        <v>3470</v>
      </c>
      <c r="D156" s="621" t="s">
        <v>3697</v>
      </c>
      <c r="E156" s="1324">
        <v>5168763.2166068479</v>
      </c>
      <c r="F156" s="1325">
        <v>41499</v>
      </c>
      <c r="G156" s="1325">
        <f t="shared" si="26"/>
        <v>42779</v>
      </c>
      <c r="H156" s="1325">
        <v>43208</v>
      </c>
      <c r="I156" s="1325">
        <f t="shared" si="27"/>
        <v>429</v>
      </c>
      <c r="J156" s="1325">
        <f t="shared" si="28"/>
        <v>486005.35231218365</v>
      </c>
      <c r="K156" s="1325">
        <f t="shared" si="29"/>
        <v>5654768.5689190319</v>
      </c>
      <c r="L156" s="1339">
        <v>5332218</v>
      </c>
      <c r="M156" s="1336">
        <f t="shared" si="31"/>
        <v>501374.58016438351</v>
      </c>
      <c r="N156" s="1339">
        <v>5328478</v>
      </c>
      <c r="O156" s="1336">
        <v>5328478</v>
      </c>
      <c r="P156" s="1339">
        <v>2455964.4032876715</v>
      </c>
      <c r="Q156" s="1339">
        <v>5328478</v>
      </c>
      <c r="R156" s="1336">
        <f t="shared" si="33"/>
        <v>5168763.2166068479</v>
      </c>
      <c r="S156" s="1336">
        <f t="shared" si="32"/>
        <v>7624727.6198945194</v>
      </c>
      <c r="T156" s="1350">
        <f t="shared" ref="T156:T162" si="35">+L156-Q156</f>
        <v>3740</v>
      </c>
      <c r="U156" s="1346" t="s">
        <v>3573</v>
      </c>
      <c r="V156" s="1306"/>
    </row>
    <row r="157" spans="2:22">
      <c r="B157" s="1323">
        <v>152</v>
      </c>
      <c r="C157" s="1376" t="s">
        <v>3471</v>
      </c>
      <c r="D157" s="621" t="s">
        <v>3698</v>
      </c>
      <c r="E157" s="1324">
        <v>6605179.939858376</v>
      </c>
      <c r="F157" s="1325">
        <v>40623</v>
      </c>
      <c r="G157" s="1325">
        <f t="shared" si="26"/>
        <v>41903</v>
      </c>
      <c r="H157" s="1325">
        <v>43208</v>
      </c>
      <c r="I157" s="1325">
        <f t="shared" si="27"/>
        <v>1305</v>
      </c>
      <c r="J157" s="1325">
        <f t="shared" si="28"/>
        <v>1889262.4266334644</v>
      </c>
      <c r="K157" s="1325">
        <f t="shared" si="29"/>
        <v>8494442.3664918412</v>
      </c>
      <c r="L157" s="1339">
        <v>6809280</v>
      </c>
      <c r="M157" s="1336">
        <f t="shared" si="31"/>
        <v>1947640.6356164385</v>
      </c>
      <c r="N157" s="1339">
        <v>6809280</v>
      </c>
      <c r="O157" s="1336">
        <v>6809280</v>
      </c>
      <c r="P157" s="1339">
        <v>3141321.6760547943</v>
      </c>
      <c r="Q157" s="1339">
        <v>6809280</v>
      </c>
      <c r="R157" s="1336">
        <f t="shared" si="33"/>
        <v>6605179.939858376</v>
      </c>
      <c r="S157" s="1336">
        <f t="shared" si="32"/>
        <v>9746501.6159131713</v>
      </c>
      <c r="T157" s="1350">
        <f t="shared" si="35"/>
        <v>0</v>
      </c>
      <c r="U157" s="1346"/>
      <c r="V157" s="1306"/>
    </row>
    <row r="158" spans="2:22">
      <c r="B158" s="1323">
        <v>153</v>
      </c>
      <c r="C158" s="1376" t="s">
        <v>3472</v>
      </c>
      <c r="D158" s="621" t="s">
        <v>3699</v>
      </c>
      <c r="E158" s="1324">
        <v>6606667.9600349208</v>
      </c>
      <c r="F158" s="1325">
        <v>40626</v>
      </c>
      <c r="G158" s="1325">
        <f t="shared" si="26"/>
        <v>41906</v>
      </c>
      <c r="H158" s="1325">
        <v>43208</v>
      </c>
      <c r="I158" s="1325">
        <f t="shared" si="27"/>
        <v>1302</v>
      </c>
      <c r="J158" s="1325">
        <f t="shared" si="28"/>
        <v>1885343.9307321568</v>
      </c>
      <c r="K158" s="1325">
        <f t="shared" si="29"/>
        <v>8492011.890767077</v>
      </c>
      <c r="L158" s="1339">
        <v>6810814</v>
      </c>
      <c r="M158" s="1336">
        <f t="shared" si="31"/>
        <v>1943601.0581917807</v>
      </c>
      <c r="N158" s="1339">
        <v>6810814</v>
      </c>
      <c r="O158" s="1336">
        <v>6810814</v>
      </c>
      <c r="P158" s="1339">
        <v>3129366.8740821923</v>
      </c>
      <c r="Q158" s="1339">
        <v>6810814</v>
      </c>
      <c r="R158" s="1336">
        <f t="shared" si="33"/>
        <v>6606667.9600349208</v>
      </c>
      <c r="S158" s="1336">
        <f t="shared" si="32"/>
        <v>9736034.8341171127</v>
      </c>
      <c r="T158" s="1350">
        <f t="shared" si="35"/>
        <v>0</v>
      </c>
      <c r="U158" s="1346"/>
      <c r="V158" s="1306"/>
    </row>
    <row r="159" spans="2:22" ht="15.75" thickBot="1">
      <c r="B159" s="1323">
        <v>154</v>
      </c>
      <c r="C159" s="1376" t="s">
        <v>3275</v>
      </c>
      <c r="D159" s="621" t="s">
        <v>3700</v>
      </c>
      <c r="E159" s="1324">
        <v>5851970.1231933264</v>
      </c>
      <c r="F159" s="1325">
        <v>41830</v>
      </c>
      <c r="G159" s="1325">
        <f t="shared" si="26"/>
        <v>43110</v>
      </c>
      <c r="H159" s="1325">
        <v>43208</v>
      </c>
      <c r="I159" s="1325">
        <f t="shared" si="27"/>
        <v>98</v>
      </c>
      <c r="J159" s="1325">
        <f t="shared" si="28"/>
        <v>125697.11168722104</v>
      </c>
      <c r="K159" s="1325">
        <f t="shared" si="29"/>
        <v>5977667.234880547</v>
      </c>
      <c r="L159" s="1339">
        <v>6133689</v>
      </c>
      <c r="M159" s="1336">
        <f t="shared" si="31"/>
        <v>131748.27879452053</v>
      </c>
      <c r="N159" s="1339">
        <v>6032796</v>
      </c>
      <c r="O159" s="1336">
        <v>6032796</v>
      </c>
      <c r="P159" s="1339">
        <v>2570110.6974246576</v>
      </c>
      <c r="Q159" s="1339">
        <v>6032796</v>
      </c>
      <c r="R159" s="1336">
        <f t="shared" si="33"/>
        <v>5851970.1231933264</v>
      </c>
      <c r="S159" s="1336">
        <f t="shared" si="32"/>
        <v>8422080.820617985</v>
      </c>
      <c r="T159" s="1350">
        <f t="shared" si="35"/>
        <v>100893</v>
      </c>
      <c r="U159" s="1346" t="s">
        <v>3573</v>
      </c>
      <c r="V159" s="1307"/>
    </row>
    <row r="160" spans="2:22">
      <c r="B160" s="1323">
        <v>155</v>
      </c>
      <c r="C160" s="1378" t="s">
        <v>3252</v>
      </c>
      <c r="D160" s="431" t="s">
        <v>3766</v>
      </c>
      <c r="E160" s="1321">
        <v>5377166.5534969438</v>
      </c>
      <c r="F160" s="1322">
        <v>41034</v>
      </c>
      <c r="G160" s="1322">
        <f>EDATE(F160,42)</f>
        <v>42313</v>
      </c>
      <c r="H160" s="1322">
        <v>43208</v>
      </c>
      <c r="I160" s="1322">
        <f>H160-G160</f>
        <v>895</v>
      </c>
      <c r="J160" s="1322">
        <f>E160*8/100/365*I160</f>
        <v>1054808.5622750171</v>
      </c>
      <c r="K160" s="1322">
        <f>E160+J160</f>
        <v>6431975.1157719605</v>
      </c>
      <c r="L160" s="1342">
        <v>5556305</v>
      </c>
      <c r="M160" s="1342">
        <f>+L160*8/100/365*I160</f>
        <v>1089949.1452054796</v>
      </c>
      <c r="N160" s="1342">
        <v>5543321</v>
      </c>
      <c r="O160" s="1337">
        <f>VLOOKUP(C160,'[1]Interest as per us on payment b'!C89:D274,2,0)</f>
        <v>5543321</v>
      </c>
      <c r="P160" s="1339">
        <v>2480442.9488219176</v>
      </c>
      <c r="Q160" s="1339">
        <v>5543321</v>
      </c>
      <c r="R160" s="1336">
        <f t="shared" si="33"/>
        <v>5377166.5534969438</v>
      </c>
      <c r="S160" s="1337">
        <f>+R160+P160</f>
        <v>7857609.502318861</v>
      </c>
      <c r="T160" s="1351">
        <f t="shared" si="35"/>
        <v>12984</v>
      </c>
      <c r="U160" s="1346" t="s">
        <v>3767</v>
      </c>
      <c r="V160" s="1308" t="s">
        <v>3768</v>
      </c>
    </row>
    <row r="161" spans="2:22" ht="18" customHeight="1">
      <c r="B161" s="1323">
        <v>156</v>
      </c>
      <c r="C161" s="1376" t="s">
        <v>3480</v>
      </c>
      <c r="D161" s="621" t="s">
        <v>3701</v>
      </c>
      <c r="E161" s="1324" t="s">
        <v>3478</v>
      </c>
      <c r="F161" s="1325"/>
      <c r="G161" s="1325">
        <f t="shared" si="26"/>
        <v>1277</v>
      </c>
      <c r="H161" s="1325">
        <v>43208</v>
      </c>
      <c r="I161" s="1325">
        <f t="shared" si="27"/>
        <v>41931</v>
      </c>
      <c r="J161" s="1325"/>
      <c r="K161" s="1325"/>
      <c r="L161" s="1342">
        <v>500000</v>
      </c>
      <c r="M161" s="1343">
        <f t="shared" si="31"/>
        <v>4595178.0821917811</v>
      </c>
      <c r="N161" s="1342">
        <v>500000</v>
      </c>
      <c r="O161" s="1336">
        <v>500000</v>
      </c>
      <c r="P161" s="1339">
        <v>289972.60273972602</v>
      </c>
      <c r="Q161" s="1339">
        <v>500000</v>
      </c>
      <c r="R161" s="1336">
        <f t="shared" si="33"/>
        <v>485013.09535357455</v>
      </c>
      <c r="S161" s="1336">
        <f t="shared" si="32"/>
        <v>774985.69809330057</v>
      </c>
      <c r="T161" s="1350">
        <f t="shared" si="35"/>
        <v>0</v>
      </c>
      <c r="U161" s="1346"/>
      <c r="V161" s="1308"/>
    </row>
    <row r="162" spans="2:22" ht="18" customHeight="1" thickBot="1">
      <c r="B162" s="1323">
        <v>157</v>
      </c>
      <c r="C162" s="1376" t="s">
        <v>3481</v>
      </c>
      <c r="D162" s="621" t="s">
        <v>3702</v>
      </c>
      <c r="E162" s="1324" t="s">
        <v>3478</v>
      </c>
      <c r="F162" s="1325"/>
      <c r="G162" s="1325">
        <f t="shared" si="26"/>
        <v>1277</v>
      </c>
      <c r="H162" s="1325">
        <v>43208</v>
      </c>
      <c r="I162" s="1325">
        <f t="shared" si="27"/>
        <v>41931</v>
      </c>
      <c r="J162" s="1325"/>
      <c r="K162" s="1325"/>
      <c r="L162" s="1342">
        <v>600000</v>
      </c>
      <c r="M162" s="1343">
        <f t="shared" si="31"/>
        <v>5514213.6986301374</v>
      </c>
      <c r="N162" s="1342">
        <v>600000</v>
      </c>
      <c r="O162" s="1336">
        <v>600000</v>
      </c>
      <c r="P162" s="1339">
        <v>300493.15068493149</v>
      </c>
      <c r="Q162" s="1339">
        <v>600000</v>
      </c>
      <c r="R162" s="1336">
        <f t="shared" si="33"/>
        <v>582015.71442428941</v>
      </c>
      <c r="S162" s="1336">
        <f t="shared" si="32"/>
        <v>882508.86510922085</v>
      </c>
      <c r="T162" s="1350">
        <f t="shared" si="35"/>
        <v>0</v>
      </c>
      <c r="U162" s="1347"/>
      <c r="V162" s="1309"/>
    </row>
    <row r="163" spans="2:22">
      <c r="B163" s="1323">
        <v>158</v>
      </c>
      <c r="C163" s="1376" t="s">
        <v>3473</v>
      </c>
      <c r="D163" s="621" t="s">
        <v>3703</v>
      </c>
      <c r="E163" s="1325">
        <f>+L163*100/103.09</f>
        <v>6201909.0115433112</v>
      </c>
      <c r="F163" s="1325">
        <v>41047</v>
      </c>
      <c r="G163" s="1325">
        <f t="shared" si="26"/>
        <v>42326</v>
      </c>
      <c r="H163" s="1325">
        <v>43208</v>
      </c>
      <c r="I163" s="1325">
        <f t="shared" si="27"/>
        <v>882</v>
      </c>
      <c r="J163" s="1325">
        <f t="shared" si="28"/>
        <v>1198922.4653547837</v>
      </c>
      <c r="K163" s="1325">
        <f t="shared" si="29"/>
        <v>7400831.4768980946</v>
      </c>
      <c r="L163" s="1340">
        <v>6393548</v>
      </c>
      <c r="M163" s="1336">
        <f t="shared" ref="M163:M174" si="36">+L163*8/100/365*I163</f>
        <v>1235969.1695342467</v>
      </c>
      <c r="N163" s="1339">
        <v>6572472</v>
      </c>
      <c r="O163" s="1336">
        <v>6377874</v>
      </c>
      <c r="P163" s="1339">
        <v>2769908.4745205482</v>
      </c>
      <c r="Q163" s="1339">
        <v>6572472</v>
      </c>
      <c r="R163" s="1336">
        <f t="shared" si="33"/>
        <v>6375469.9776893975</v>
      </c>
      <c r="S163" s="1336">
        <f t="shared" ref="S163:S195" si="37">+R163+P163</f>
        <v>9145378.4522099458</v>
      </c>
      <c r="T163" s="1350">
        <v>0</v>
      </c>
      <c r="U163" s="1346" t="s">
        <v>3704</v>
      </c>
      <c r="V163" s="1308"/>
    </row>
    <row r="164" spans="2:22">
      <c r="B164" s="1323">
        <v>159</v>
      </c>
      <c r="C164" s="1376" t="s">
        <v>3474</v>
      </c>
      <c r="D164" s="621" t="s">
        <v>3705</v>
      </c>
      <c r="E164" s="1325">
        <f t="shared" ref="E164:E183" si="38">+L164*100/103.09</f>
        <v>3736436.123775342</v>
      </c>
      <c r="F164" s="1325">
        <v>40832</v>
      </c>
      <c r="G164" s="1325">
        <f t="shared" si="26"/>
        <v>42110</v>
      </c>
      <c r="H164" s="1325">
        <v>43208</v>
      </c>
      <c r="I164" s="1325">
        <f t="shared" si="27"/>
        <v>1098</v>
      </c>
      <c r="J164" s="1325">
        <f t="shared" si="28"/>
        <v>899201.5044176057</v>
      </c>
      <c r="K164" s="1325">
        <f t="shared" si="29"/>
        <v>4635637.6281929482</v>
      </c>
      <c r="L164" s="1340">
        <v>3851892</v>
      </c>
      <c r="M164" s="1336">
        <f t="shared" si="36"/>
        <v>926986.83090410952</v>
      </c>
      <c r="N164" s="1339">
        <v>3800026</v>
      </c>
      <c r="O164" s="1336">
        <v>3800025</v>
      </c>
      <c r="P164" s="1339">
        <v>1913950.4155616439</v>
      </c>
      <c r="Q164" s="1339">
        <v>3800026</v>
      </c>
      <c r="R164" s="1336">
        <f t="shared" si="33"/>
        <v>3686124.7453681249</v>
      </c>
      <c r="S164" s="1336">
        <f t="shared" si="37"/>
        <v>5600075.1609297693</v>
      </c>
      <c r="T164" s="1350">
        <f t="shared" ref="T164:T195" si="39">+L164-Q164</f>
        <v>51866</v>
      </c>
      <c r="U164" s="1346"/>
      <c r="V164" s="1308"/>
    </row>
    <row r="165" spans="2:22">
      <c r="B165" s="1323">
        <v>160</v>
      </c>
      <c r="C165" s="1376" t="s">
        <v>3482</v>
      </c>
      <c r="D165" s="621" t="s">
        <v>3706</v>
      </c>
      <c r="E165" s="1325">
        <f t="shared" si="38"/>
        <v>5918612.8625472886</v>
      </c>
      <c r="F165" s="1325">
        <v>41149</v>
      </c>
      <c r="G165" s="1325">
        <f t="shared" si="26"/>
        <v>42428</v>
      </c>
      <c r="H165" s="1325">
        <v>43209</v>
      </c>
      <c r="I165" s="1325">
        <f t="shared" si="27"/>
        <v>781</v>
      </c>
      <c r="J165" s="1325">
        <f t="shared" si="28"/>
        <v>1013136.7990464509</v>
      </c>
      <c r="K165" s="1325">
        <f t="shared" si="29"/>
        <v>6931749.6615937399</v>
      </c>
      <c r="L165" s="1341">
        <v>6101498</v>
      </c>
      <c r="M165" s="1336">
        <f t="shared" si="36"/>
        <v>1044442.7261369864</v>
      </c>
      <c r="N165" s="1339">
        <v>6051498</v>
      </c>
      <c r="O165" s="1336">
        <v>6051498</v>
      </c>
      <c r="P165" s="1339">
        <v>2547992.9968219176</v>
      </c>
      <c r="Q165" s="1339">
        <v>6051498</v>
      </c>
      <c r="R165" s="1336">
        <f t="shared" si="33"/>
        <v>5870111.5530119315</v>
      </c>
      <c r="S165" s="1336">
        <f t="shared" si="37"/>
        <v>8418104.5498338491</v>
      </c>
      <c r="T165" s="1350">
        <f t="shared" si="39"/>
        <v>50000</v>
      </c>
      <c r="U165" s="1346" t="s">
        <v>3573</v>
      </c>
      <c r="V165" s="1308"/>
    </row>
    <row r="166" spans="2:22">
      <c r="B166" s="1323">
        <v>161</v>
      </c>
      <c r="C166" s="1376" t="s">
        <v>3707</v>
      </c>
      <c r="D166" s="621" t="s">
        <v>3708</v>
      </c>
      <c r="E166" s="1325">
        <f t="shared" si="38"/>
        <v>4580431.6616548644</v>
      </c>
      <c r="F166" s="1325">
        <v>40551</v>
      </c>
      <c r="G166" s="1325">
        <f t="shared" si="26"/>
        <v>41828</v>
      </c>
      <c r="H166" s="1325">
        <v>43208</v>
      </c>
      <c r="I166" s="1325">
        <f t="shared" si="27"/>
        <v>1380</v>
      </c>
      <c r="J166" s="1325">
        <f t="shared" si="28"/>
        <v>1385423.7135525947</v>
      </c>
      <c r="K166" s="1325">
        <f t="shared" si="29"/>
        <v>5965855.3752074596</v>
      </c>
      <c r="L166" s="1340">
        <v>4721967</v>
      </c>
      <c r="M166" s="1336">
        <f t="shared" si="36"/>
        <v>1428233.3063013698</v>
      </c>
      <c r="N166" s="1339">
        <v>4721967</v>
      </c>
      <c r="O166" s="1336">
        <v>4721967</v>
      </c>
      <c r="P166" s="1339">
        <v>2066757.8119452053</v>
      </c>
      <c r="Q166" s="1339">
        <v>4721967</v>
      </c>
      <c r="R166" s="1336">
        <f t="shared" si="33"/>
        <v>4580431.6616548644</v>
      </c>
      <c r="S166" s="1336">
        <f t="shared" si="37"/>
        <v>6647189.47360007</v>
      </c>
      <c r="T166" s="1350">
        <f t="shared" si="39"/>
        <v>0</v>
      </c>
      <c r="U166" s="1346"/>
      <c r="V166" s="1308"/>
    </row>
    <row r="167" spans="2:22">
      <c r="B167" s="1323">
        <v>162</v>
      </c>
      <c r="C167" s="1376" t="s">
        <v>3709</v>
      </c>
      <c r="D167" s="621" t="s">
        <v>3710</v>
      </c>
      <c r="E167" s="1325">
        <f t="shared" si="38"/>
        <v>2953130.2745174118</v>
      </c>
      <c r="F167" s="1325">
        <v>41025</v>
      </c>
      <c r="G167" s="1325">
        <f t="shared" si="26"/>
        <v>42303</v>
      </c>
      <c r="H167" s="1325">
        <v>43209</v>
      </c>
      <c r="I167" s="1325">
        <f t="shared" si="27"/>
        <v>906</v>
      </c>
      <c r="J167" s="1325">
        <f t="shared" si="28"/>
        <v>586418.85560827947</v>
      </c>
      <c r="K167" s="1325">
        <f t="shared" si="29"/>
        <v>3539549.1301256912</v>
      </c>
      <c r="L167" s="1340">
        <v>3044382</v>
      </c>
      <c r="M167" s="1336">
        <f t="shared" si="36"/>
        <v>604539.19824657531</v>
      </c>
      <c r="N167" s="1339">
        <v>3042720</v>
      </c>
      <c r="O167" s="1336">
        <v>3044382</v>
      </c>
      <c r="P167" s="1339">
        <v>1252881.3396164384</v>
      </c>
      <c r="Q167" s="1339">
        <v>3042720</v>
      </c>
      <c r="R167" s="1336">
        <f t="shared" si="33"/>
        <v>2951518.0909884567</v>
      </c>
      <c r="S167" s="1336">
        <f t="shared" si="37"/>
        <v>4204399.4306048956</v>
      </c>
      <c r="T167" s="1350">
        <f t="shared" si="39"/>
        <v>1662</v>
      </c>
      <c r="U167" s="1346"/>
      <c r="V167" s="1308"/>
    </row>
    <row r="168" spans="2:22">
      <c r="B168" s="1323">
        <v>163</v>
      </c>
      <c r="C168" s="1376" t="s">
        <v>3711</v>
      </c>
      <c r="D168" s="621" t="s">
        <v>3712</v>
      </c>
      <c r="E168" s="1325">
        <f t="shared" si="38"/>
        <v>6052616.1606363365</v>
      </c>
      <c r="F168" s="1325">
        <v>41173</v>
      </c>
      <c r="G168" s="1325">
        <f t="shared" si="26"/>
        <v>42450</v>
      </c>
      <c r="H168" s="1325">
        <v>43208</v>
      </c>
      <c r="I168" s="1325">
        <f t="shared" si="27"/>
        <v>758</v>
      </c>
      <c r="J168" s="1325">
        <f t="shared" si="28"/>
        <v>1005563.4081670889</v>
      </c>
      <c r="K168" s="1325">
        <f t="shared" si="29"/>
        <v>7058179.5688034259</v>
      </c>
      <c r="L168" s="1340">
        <v>6239642</v>
      </c>
      <c r="M168" s="1336">
        <f t="shared" si="36"/>
        <v>1036635.317479452</v>
      </c>
      <c r="N168" s="1339">
        <v>6239642</v>
      </c>
      <c r="O168" s="1336">
        <v>6239642</v>
      </c>
      <c r="P168" s="1339">
        <v>2748577.3790684934</v>
      </c>
      <c r="Q168" s="1339">
        <v>6239642</v>
      </c>
      <c r="R168" s="1336">
        <f t="shared" si="33"/>
        <v>6052616.1606363365</v>
      </c>
      <c r="S168" s="1336">
        <f t="shared" si="37"/>
        <v>8801193.5397048295</v>
      </c>
      <c r="T168" s="1350">
        <f t="shared" si="39"/>
        <v>0</v>
      </c>
      <c r="U168" s="1346"/>
      <c r="V168" s="1308"/>
    </row>
    <row r="169" spans="2:22">
      <c r="B169" s="1323">
        <v>164</v>
      </c>
      <c r="C169" s="1376" t="s">
        <v>3713</v>
      </c>
      <c r="D169" s="621" t="s">
        <v>3714</v>
      </c>
      <c r="E169" s="1325">
        <f t="shared" si="38"/>
        <v>7507188.8640993303</v>
      </c>
      <c r="F169" s="1325">
        <v>41008</v>
      </c>
      <c r="G169" s="1325">
        <f t="shared" si="26"/>
        <v>42286</v>
      </c>
      <c r="H169" s="1325">
        <v>43208</v>
      </c>
      <c r="I169" s="1325">
        <f t="shared" si="27"/>
        <v>922</v>
      </c>
      <c r="J169" s="1325">
        <f t="shared" si="28"/>
        <v>1517069.1797697716</v>
      </c>
      <c r="K169" s="1325">
        <f t="shared" si="29"/>
        <v>9024258.0438691024</v>
      </c>
      <c r="L169" s="1340">
        <v>7739161</v>
      </c>
      <c r="M169" s="1336">
        <f t="shared" si="36"/>
        <v>1563946.6174246576</v>
      </c>
      <c r="N169" s="1339">
        <v>7739161</v>
      </c>
      <c r="O169" s="1336">
        <v>7739161</v>
      </c>
      <c r="P169" s="1339">
        <v>1916439.9962739723</v>
      </c>
      <c r="Q169" s="1339">
        <v>7739161</v>
      </c>
      <c r="R169" s="1336">
        <f t="shared" si="33"/>
        <v>7507188.8640993303</v>
      </c>
      <c r="S169" s="1336">
        <f t="shared" si="37"/>
        <v>9423628.8603733033</v>
      </c>
      <c r="T169" s="1350">
        <f t="shared" si="39"/>
        <v>0</v>
      </c>
      <c r="U169" s="1346"/>
      <c r="V169" s="1308"/>
    </row>
    <row r="170" spans="2:22">
      <c r="B170" s="1323">
        <v>165</v>
      </c>
      <c r="C170" s="1376" t="s">
        <v>3715</v>
      </c>
      <c r="D170" s="621" t="s">
        <v>3716</v>
      </c>
      <c r="E170" s="1325">
        <f t="shared" si="38"/>
        <v>8051999.2239790475</v>
      </c>
      <c r="F170" s="1325">
        <v>41122</v>
      </c>
      <c r="G170" s="1325">
        <f t="shared" si="26"/>
        <v>42401</v>
      </c>
      <c r="H170" s="1325">
        <v>43208</v>
      </c>
      <c r="I170" s="1325">
        <f t="shared" si="27"/>
        <v>807</v>
      </c>
      <c r="J170" s="1325">
        <f t="shared" si="28"/>
        <v>1424211.1504111981</v>
      </c>
      <c r="K170" s="1325">
        <f t="shared" si="29"/>
        <v>9476210.3743902463</v>
      </c>
      <c r="L170" s="1340">
        <v>8300806</v>
      </c>
      <c r="M170" s="1336">
        <f t="shared" si="36"/>
        <v>1468219.2749589041</v>
      </c>
      <c r="N170" s="1339">
        <v>6055369</v>
      </c>
      <c r="O170" s="1336">
        <v>6055369</v>
      </c>
      <c r="P170" s="1339">
        <v>2554319.5736986306</v>
      </c>
      <c r="Q170" s="1339">
        <v>6055369</v>
      </c>
      <c r="R170" s="1336">
        <f t="shared" si="33"/>
        <v>5873866.5243961588</v>
      </c>
      <c r="S170" s="1336">
        <f t="shared" si="37"/>
        <v>8428186.0980947893</v>
      </c>
      <c r="T170" s="1350">
        <f t="shared" si="39"/>
        <v>2245437</v>
      </c>
      <c r="U170" s="1346" t="s">
        <v>3573</v>
      </c>
      <c r="V170" s="1308"/>
    </row>
    <row r="171" spans="2:22">
      <c r="B171" s="1323">
        <v>166</v>
      </c>
      <c r="C171" s="1376" t="s">
        <v>3717</v>
      </c>
      <c r="D171" s="621" t="s">
        <v>3718</v>
      </c>
      <c r="E171" s="1325">
        <f t="shared" si="38"/>
        <v>6707688.4275875445</v>
      </c>
      <c r="F171" s="1325">
        <v>41149</v>
      </c>
      <c r="G171" s="1325">
        <f t="shared" si="26"/>
        <v>42428</v>
      </c>
      <c r="H171" s="1325">
        <v>43208</v>
      </c>
      <c r="I171" s="1325">
        <f t="shared" si="27"/>
        <v>780</v>
      </c>
      <c r="J171" s="1325">
        <f t="shared" si="28"/>
        <v>1146739.0626889393</v>
      </c>
      <c r="K171" s="1325">
        <f t="shared" si="29"/>
        <v>7854427.4902764838</v>
      </c>
      <c r="L171" s="1340">
        <v>6914956</v>
      </c>
      <c r="M171" s="1336">
        <f t="shared" si="36"/>
        <v>1182173.2997260273</v>
      </c>
      <c r="N171" s="1339">
        <v>6899144</v>
      </c>
      <c r="O171" s="1336">
        <v>6899144</v>
      </c>
      <c r="P171" s="1339">
        <v>2743963.0316712325</v>
      </c>
      <c r="Q171" s="1339">
        <v>6899144</v>
      </c>
      <c r="R171" s="1336">
        <f t="shared" si="33"/>
        <v>6692350.3734600833</v>
      </c>
      <c r="S171" s="1336">
        <f t="shared" si="37"/>
        <v>9436313.4051313158</v>
      </c>
      <c r="T171" s="1350">
        <f t="shared" si="39"/>
        <v>15812</v>
      </c>
      <c r="U171" s="1346" t="s">
        <v>3558</v>
      </c>
      <c r="V171" s="1308"/>
    </row>
    <row r="172" spans="2:22">
      <c r="B172" s="1323">
        <v>167</v>
      </c>
      <c r="C172" s="1376" t="s">
        <v>3719</v>
      </c>
      <c r="D172" s="621" t="s">
        <v>3720</v>
      </c>
      <c r="E172" s="1325">
        <f t="shared" si="38"/>
        <v>4793865.5543699674</v>
      </c>
      <c r="F172" s="1325">
        <v>41039</v>
      </c>
      <c r="G172" s="1325">
        <f t="shared" si="26"/>
        <v>42318</v>
      </c>
      <c r="H172" s="1325">
        <v>43208</v>
      </c>
      <c r="I172" s="1325">
        <f t="shared" si="27"/>
        <v>890</v>
      </c>
      <c r="J172" s="1325">
        <f t="shared" si="28"/>
        <v>935132.13005792233</v>
      </c>
      <c r="K172" s="1325">
        <f t="shared" si="29"/>
        <v>5728997.68442789</v>
      </c>
      <c r="L172" s="1340">
        <v>4941996</v>
      </c>
      <c r="M172" s="1336">
        <f t="shared" si="36"/>
        <v>964027.71287671244</v>
      </c>
      <c r="N172" s="1339">
        <v>4941996</v>
      </c>
      <c r="O172" s="1336">
        <v>4941996</v>
      </c>
      <c r="P172" s="1339">
        <v>2167663.4790136991</v>
      </c>
      <c r="Q172" s="1339">
        <v>4941996</v>
      </c>
      <c r="R172" s="1336">
        <f t="shared" si="33"/>
        <v>4793865.5543699674</v>
      </c>
      <c r="S172" s="1336">
        <f t="shared" si="37"/>
        <v>6961529.0333836665</v>
      </c>
      <c r="T172" s="1350">
        <f t="shared" si="39"/>
        <v>0</v>
      </c>
      <c r="U172" s="1346"/>
      <c r="V172" s="1308"/>
    </row>
    <row r="173" spans="2:22">
      <c r="B173" s="1323">
        <v>168</v>
      </c>
      <c r="C173" s="1376" t="s">
        <v>3721</v>
      </c>
      <c r="D173" s="621" t="s">
        <v>3722</v>
      </c>
      <c r="E173" s="1325">
        <f t="shared" si="38"/>
        <v>5548987.2926569013</v>
      </c>
      <c r="F173" s="1325">
        <v>41019</v>
      </c>
      <c r="G173" s="1325">
        <f t="shared" si="26"/>
        <v>42297</v>
      </c>
      <c r="H173" s="1325">
        <v>43208</v>
      </c>
      <c r="I173" s="1325">
        <f t="shared" si="27"/>
        <v>911</v>
      </c>
      <c r="J173" s="1325">
        <f t="shared" si="28"/>
        <v>1107973.1339420136</v>
      </c>
      <c r="K173" s="1325">
        <f t="shared" si="29"/>
        <v>6656960.4265989149</v>
      </c>
      <c r="L173" s="1340">
        <v>5720451</v>
      </c>
      <c r="M173" s="1336">
        <f t="shared" si="36"/>
        <v>1142209.503780822</v>
      </c>
      <c r="N173" s="1339">
        <v>5683451</v>
      </c>
      <c r="O173" s="1336">
        <v>5683451</v>
      </c>
      <c r="P173" s="1339">
        <v>1875452.9711780823</v>
      </c>
      <c r="Q173" s="1339">
        <v>5720451</v>
      </c>
      <c r="R173" s="1336">
        <f t="shared" si="33"/>
        <v>5548987.2926569013</v>
      </c>
      <c r="S173" s="1336">
        <f t="shared" si="37"/>
        <v>7424440.2638349831</v>
      </c>
      <c r="T173" s="1350">
        <f t="shared" si="39"/>
        <v>0</v>
      </c>
      <c r="U173" s="1346"/>
      <c r="V173" s="1308"/>
    </row>
    <row r="174" spans="2:22">
      <c r="B174" s="1323">
        <v>169</v>
      </c>
      <c r="C174" s="1376" t="s">
        <v>3723</v>
      </c>
      <c r="D174" s="621" t="s">
        <v>3724</v>
      </c>
      <c r="E174" s="1325">
        <f t="shared" si="38"/>
        <v>6384660.005820157</v>
      </c>
      <c r="F174" s="1325">
        <v>41091</v>
      </c>
      <c r="G174" s="1325">
        <f t="shared" si="26"/>
        <v>42370</v>
      </c>
      <c r="H174" s="1325">
        <v>43208</v>
      </c>
      <c r="I174" s="1325">
        <f t="shared" si="27"/>
        <v>838</v>
      </c>
      <c r="J174" s="1325">
        <f t="shared" si="28"/>
        <v>1172678.3747676257</v>
      </c>
      <c r="K174" s="1325">
        <f t="shared" si="29"/>
        <v>7557338.3805877827</v>
      </c>
      <c r="L174" s="1340">
        <v>6581946</v>
      </c>
      <c r="M174" s="1336">
        <f t="shared" si="36"/>
        <v>1208914.1365479452</v>
      </c>
      <c r="N174" s="1339">
        <v>6581946</v>
      </c>
      <c r="O174" s="1336">
        <v>6581946</v>
      </c>
      <c r="P174" s="1339">
        <v>2870036.764712329</v>
      </c>
      <c r="Q174" s="1339">
        <v>6581946</v>
      </c>
      <c r="R174" s="1336">
        <f t="shared" si="33"/>
        <v>6384660.005820157</v>
      </c>
      <c r="S174" s="1336">
        <f t="shared" si="37"/>
        <v>9254696.7705324851</v>
      </c>
      <c r="T174" s="1350">
        <f t="shared" si="39"/>
        <v>0</v>
      </c>
      <c r="U174" s="1346"/>
      <c r="V174" s="1308"/>
    </row>
    <row r="175" spans="2:22" s="1311" customFormat="1">
      <c r="B175" s="1323">
        <v>170</v>
      </c>
      <c r="C175" s="1376" t="s">
        <v>3725</v>
      </c>
      <c r="D175" s="621" t="s">
        <v>3726</v>
      </c>
      <c r="E175" s="1325">
        <f t="shared" si="38"/>
        <v>4814277.8155010184</v>
      </c>
      <c r="F175" s="1325">
        <v>42282</v>
      </c>
      <c r="G175" s="1325">
        <f t="shared" si="26"/>
        <v>43560</v>
      </c>
      <c r="H175" s="1325">
        <v>43208</v>
      </c>
      <c r="I175" s="1325">
        <f t="shared" si="27"/>
        <v>-352</v>
      </c>
      <c r="J175" s="1325">
        <v>0</v>
      </c>
      <c r="K175" s="1325">
        <f t="shared" si="29"/>
        <v>4814277.8155010184</v>
      </c>
      <c r="L175" s="1341">
        <v>4963039</v>
      </c>
      <c r="M175" s="1336">
        <v>0</v>
      </c>
      <c r="N175" s="1342">
        <v>4963039</v>
      </c>
      <c r="O175" s="1336">
        <v>4963039</v>
      </c>
      <c r="P175" s="1342">
        <v>2129928.5369863012</v>
      </c>
      <c r="Q175" s="1339">
        <v>4963039</v>
      </c>
      <c r="R175" s="1336">
        <f t="shared" si="33"/>
        <v>4814277.8155010184</v>
      </c>
      <c r="S175" s="1336">
        <f t="shared" si="37"/>
        <v>6944206.3524873201</v>
      </c>
      <c r="T175" s="1350">
        <f t="shared" si="39"/>
        <v>0</v>
      </c>
      <c r="U175" s="1348"/>
      <c r="V175" s="1310"/>
    </row>
    <row r="176" spans="2:22" ht="30">
      <c r="B176" s="1323">
        <v>171</v>
      </c>
      <c r="C176" s="1376" t="s">
        <v>3727</v>
      </c>
      <c r="D176" s="621" t="s">
        <v>3728</v>
      </c>
      <c r="E176" s="1325">
        <f t="shared" si="38"/>
        <v>5513033.2718983414</v>
      </c>
      <c r="F176" s="1325">
        <v>40997</v>
      </c>
      <c r="G176" s="1325">
        <f t="shared" si="26"/>
        <v>42276</v>
      </c>
      <c r="H176" s="1325">
        <v>43208</v>
      </c>
      <c r="I176" s="1325">
        <f t="shared" si="27"/>
        <v>932</v>
      </c>
      <c r="J176" s="1325">
        <f t="shared" si="28"/>
        <v>1126169.2075417545</v>
      </c>
      <c r="K176" s="1325">
        <f t="shared" si="29"/>
        <v>6639202.4794400958</v>
      </c>
      <c r="L176" s="1340">
        <v>5683386</v>
      </c>
      <c r="M176" s="1336">
        <f t="shared" ref="M176:M183" si="40">+L176*8/100/365*I176</f>
        <v>1160967.8360547945</v>
      </c>
      <c r="N176" s="1339">
        <v>5683386</v>
      </c>
      <c r="O176" s="1336">
        <v>5683382</v>
      </c>
      <c r="P176" s="1339">
        <v>2633902.7662465754</v>
      </c>
      <c r="Q176" s="1339">
        <v>5683386</v>
      </c>
      <c r="R176" s="1336">
        <f t="shared" si="33"/>
        <v>5513033.2718983414</v>
      </c>
      <c r="S176" s="1336">
        <f t="shared" si="37"/>
        <v>8146936.0381449163</v>
      </c>
      <c r="T176" s="1350">
        <f t="shared" si="39"/>
        <v>0</v>
      </c>
      <c r="U176" s="1346"/>
      <c r="V176" s="1308"/>
    </row>
    <row r="177" spans="2:22">
      <c r="B177" s="1323">
        <v>172</v>
      </c>
      <c r="C177" s="1376" t="s">
        <v>3729</v>
      </c>
      <c r="D177" s="621" t="s">
        <v>3730</v>
      </c>
      <c r="E177" s="1325">
        <f t="shared" si="38"/>
        <v>6734472.7907653507</v>
      </c>
      <c r="F177" s="1325">
        <v>41148</v>
      </c>
      <c r="G177" s="1325">
        <f t="shared" si="26"/>
        <v>42427</v>
      </c>
      <c r="H177" s="1325">
        <v>43208</v>
      </c>
      <c r="I177" s="1325">
        <f t="shared" si="27"/>
        <v>781</v>
      </c>
      <c r="J177" s="1325">
        <f t="shared" si="28"/>
        <v>1152794.1368959427</v>
      </c>
      <c r="K177" s="1325">
        <f t="shared" si="29"/>
        <v>7887266.9276612932</v>
      </c>
      <c r="L177" s="1340">
        <v>6942568</v>
      </c>
      <c r="M177" s="1336">
        <f t="shared" si="40"/>
        <v>1188415.4757260273</v>
      </c>
      <c r="N177" s="1339">
        <v>6920350</v>
      </c>
      <c r="O177" s="1336">
        <v>6938532</v>
      </c>
      <c r="P177" s="1339">
        <v>2878792.0753972605</v>
      </c>
      <c r="Q177" s="1339">
        <v>6920350</v>
      </c>
      <c r="R177" s="1336">
        <f t="shared" si="33"/>
        <v>6712920.7488602186</v>
      </c>
      <c r="S177" s="1336">
        <f t="shared" si="37"/>
        <v>9591712.8242574781</v>
      </c>
      <c r="T177" s="1350">
        <f t="shared" si="39"/>
        <v>22218</v>
      </c>
      <c r="U177" s="1346" t="s">
        <v>3573</v>
      </c>
      <c r="V177" s="1308"/>
    </row>
    <row r="178" spans="2:22">
      <c r="B178" s="1323">
        <v>173</v>
      </c>
      <c r="C178" s="1376" t="s">
        <v>3731</v>
      </c>
      <c r="D178" s="621" t="s">
        <v>3732</v>
      </c>
      <c r="E178" s="1325">
        <f t="shared" si="38"/>
        <v>6025630.0320108645</v>
      </c>
      <c r="F178" s="1325">
        <v>41170</v>
      </c>
      <c r="G178" s="1325">
        <f t="shared" si="26"/>
        <v>42447</v>
      </c>
      <c r="H178" s="1325">
        <v>43208</v>
      </c>
      <c r="I178" s="1325">
        <f t="shared" si="27"/>
        <v>761</v>
      </c>
      <c r="J178" s="1325">
        <f t="shared" si="28"/>
        <v>1005042.0721885519</v>
      </c>
      <c r="K178" s="1325">
        <f t="shared" si="29"/>
        <v>7030672.104199416</v>
      </c>
      <c r="L178" s="1340">
        <v>6211822</v>
      </c>
      <c r="M178" s="1336">
        <f t="shared" si="40"/>
        <v>1036097.8722191781</v>
      </c>
      <c r="N178" s="1339">
        <v>6131075</v>
      </c>
      <c r="O178" s="1336">
        <v>6138910</v>
      </c>
      <c r="P178" s="1339">
        <v>2687348.7697534249</v>
      </c>
      <c r="Q178" s="1339">
        <v>6131075</v>
      </c>
      <c r="R178" s="1336">
        <f t="shared" si="33"/>
        <v>5947303.3271898339</v>
      </c>
      <c r="S178" s="1336">
        <f t="shared" si="37"/>
        <v>8634652.0969432592</v>
      </c>
      <c r="T178" s="1350">
        <f t="shared" si="39"/>
        <v>80747</v>
      </c>
      <c r="U178" s="1346" t="s">
        <v>3573</v>
      </c>
      <c r="V178" s="1308"/>
    </row>
    <row r="179" spans="2:22" ht="30">
      <c r="B179" s="1323">
        <v>174</v>
      </c>
      <c r="C179" s="1376" t="s">
        <v>3733</v>
      </c>
      <c r="D179" s="621" t="s">
        <v>3734</v>
      </c>
      <c r="E179" s="1325">
        <f t="shared" si="38"/>
        <v>6876437.0938015329</v>
      </c>
      <c r="F179" s="1325">
        <v>41149</v>
      </c>
      <c r="G179" s="1325">
        <f t="shared" si="26"/>
        <v>42428</v>
      </c>
      <c r="H179" s="1325">
        <v>43208</v>
      </c>
      <c r="I179" s="1325">
        <f t="shared" si="27"/>
        <v>780</v>
      </c>
      <c r="J179" s="1325">
        <f t="shared" si="28"/>
        <v>1175588.1497348375</v>
      </c>
      <c r="K179" s="1325">
        <f t="shared" si="29"/>
        <v>8052025.2435363699</v>
      </c>
      <c r="L179" s="1340">
        <v>7088919</v>
      </c>
      <c r="M179" s="1336">
        <f t="shared" si="40"/>
        <v>1211913.8235616439</v>
      </c>
      <c r="N179" s="1339">
        <v>7088919</v>
      </c>
      <c r="O179" s="1336">
        <v>7088917</v>
      </c>
      <c r="P179" s="1339">
        <v>3009909.3439999996</v>
      </c>
      <c r="Q179" s="1339">
        <v>7088919</v>
      </c>
      <c r="R179" s="1336">
        <f t="shared" si="33"/>
        <v>6876437.0938015329</v>
      </c>
      <c r="S179" s="1336">
        <f t="shared" si="37"/>
        <v>9886346.4378015324</v>
      </c>
      <c r="T179" s="1350">
        <f t="shared" si="39"/>
        <v>0</v>
      </c>
      <c r="U179" s="1346"/>
      <c r="V179" s="1308"/>
    </row>
    <row r="180" spans="2:22" ht="30">
      <c r="B180" s="1323">
        <v>175</v>
      </c>
      <c r="C180" s="1376" t="s">
        <v>3735</v>
      </c>
      <c r="D180" s="621" t="s">
        <v>3736</v>
      </c>
      <c r="E180" s="1325">
        <f t="shared" si="38"/>
        <v>5537186.9240469495</v>
      </c>
      <c r="F180" s="1325">
        <v>41061</v>
      </c>
      <c r="G180" s="1325">
        <f t="shared" si="26"/>
        <v>42339</v>
      </c>
      <c r="H180" s="1325">
        <v>43208</v>
      </c>
      <c r="I180" s="1325">
        <f t="shared" si="27"/>
        <v>869</v>
      </c>
      <c r="J180" s="1325">
        <f t="shared" si="28"/>
        <v>1054644.4793417642</v>
      </c>
      <c r="K180" s="1325">
        <f t="shared" si="29"/>
        <v>6591831.4033887135</v>
      </c>
      <c r="L180" s="1340">
        <v>5708286</v>
      </c>
      <c r="M180" s="1336">
        <f t="shared" si="40"/>
        <v>1087232.9937534246</v>
      </c>
      <c r="N180" s="1339">
        <v>5708286</v>
      </c>
      <c r="O180" s="1336">
        <v>5708284</v>
      </c>
      <c r="P180" s="1339">
        <v>2476427.7512328774</v>
      </c>
      <c r="Q180" s="1339">
        <v>5708286</v>
      </c>
      <c r="R180" s="1336">
        <f t="shared" si="33"/>
        <v>5537186.9240469495</v>
      </c>
      <c r="S180" s="1336">
        <f t="shared" si="37"/>
        <v>8013614.6752798269</v>
      </c>
      <c r="T180" s="1350">
        <f t="shared" si="39"/>
        <v>0</v>
      </c>
      <c r="U180" s="1346"/>
      <c r="V180" s="1308"/>
    </row>
    <row r="181" spans="2:22">
      <c r="B181" s="1323">
        <v>176</v>
      </c>
      <c r="C181" s="1376" t="s">
        <v>3737</v>
      </c>
      <c r="D181" s="621" t="s">
        <v>3738</v>
      </c>
      <c r="E181" s="1325">
        <f t="shared" si="38"/>
        <v>4497283.9266660195</v>
      </c>
      <c r="F181" s="1325">
        <v>41029</v>
      </c>
      <c r="G181" s="1325">
        <f t="shared" si="26"/>
        <v>42307</v>
      </c>
      <c r="H181" s="1325">
        <v>43208</v>
      </c>
      <c r="I181" s="1325">
        <f t="shared" si="27"/>
        <v>901</v>
      </c>
      <c r="J181" s="1325">
        <f t="shared" si="28"/>
        <v>888121.16557284014</v>
      </c>
      <c r="K181" s="1325">
        <f t="shared" si="29"/>
        <v>5385405.0922388593</v>
      </c>
      <c r="L181" s="1340">
        <v>4636250</v>
      </c>
      <c r="M181" s="1336">
        <f t="shared" si="40"/>
        <v>915564.10958904109</v>
      </c>
      <c r="N181" s="1339">
        <v>5236250</v>
      </c>
      <c r="O181" s="1336">
        <v>4636250</v>
      </c>
      <c r="P181" s="1339">
        <v>2089547.0435068493</v>
      </c>
      <c r="Q181" s="1339">
        <v>4636250</v>
      </c>
      <c r="R181" s="1336">
        <f t="shared" si="33"/>
        <v>4497283.9266660195</v>
      </c>
      <c r="S181" s="1336">
        <f t="shared" si="37"/>
        <v>6586830.970172869</v>
      </c>
      <c r="T181" s="1350">
        <f t="shared" si="39"/>
        <v>0</v>
      </c>
      <c r="U181" s="1346"/>
      <c r="V181" s="1308"/>
    </row>
    <row r="182" spans="2:22">
      <c r="B182" s="1323">
        <v>177</v>
      </c>
      <c r="C182" s="1376" t="s">
        <v>3739</v>
      </c>
      <c r="D182" s="621" t="s">
        <v>3740</v>
      </c>
      <c r="E182" s="1325">
        <f t="shared" si="38"/>
        <v>4871962.3629838005</v>
      </c>
      <c r="F182" s="1325">
        <v>41218</v>
      </c>
      <c r="G182" s="1325">
        <f t="shared" si="26"/>
        <v>42495</v>
      </c>
      <c r="H182" s="1325">
        <v>43208</v>
      </c>
      <c r="I182" s="1325">
        <f t="shared" si="27"/>
        <v>713</v>
      </c>
      <c r="J182" s="1325">
        <f t="shared" si="28"/>
        <v>761360.91283450939</v>
      </c>
      <c r="K182" s="1325">
        <f t="shared" si="29"/>
        <v>5633323.2758183097</v>
      </c>
      <c r="L182" s="1340">
        <v>5022506</v>
      </c>
      <c r="M182" s="1336">
        <f t="shared" si="40"/>
        <v>784886.96504109597</v>
      </c>
      <c r="N182" s="1339">
        <v>5022506</v>
      </c>
      <c r="O182" s="1336">
        <v>5022504</v>
      </c>
      <c r="P182" s="1339">
        <v>2318421.9230684927</v>
      </c>
      <c r="Q182" s="1339">
        <v>5022506</v>
      </c>
      <c r="R182" s="1336">
        <f t="shared" si="33"/>
        <v>4871962.3629838005</v>
      </c>
      <c r="S182" s="1336">
        <f t="shared" si="37"/>
        <v>7190384.2860522931</v>
      </c>
      <c r="T182" s="1350">
        <f t="shared" si="39"/>
        <v>0</v>
      </c>
      <c r="U182" s="1346"/>
      <c r="V182" s="1308"/>
    </row>
    <row r="183" spans="2:22">
      <c r="B183" s="1323">
        <v>178</v>
      </c>
      <c r="C183" s="1376" t="s">
        <v>3741</v>
      </c>
      <c r="D183" s="621"/>
      <c r="E183" s="1325">
        <f t="shared" si="38"/>
        <v>5513062.3726840625</v>
      </c>
      <c r="F183" s="1325">
        <v>41113</v>
      </c>
      <c r="G183" s="1325">
        <f t="shared" si="26"/>
        <v>42392</v>
      </c>
      <c r="H183" s="1325">
        <v>43208</v>
      </c>
      <c r="I183" s="1325">
        <f t="shared" si="27"/>
        <v>816</v>
      </c>
      <c r="J183" s="1325"/>
      <c r="K183" s="1325"/>
      <c r="L183" s="1340">
        <v>5683416</v>
      </c>
      <c r="M183" s="1336">
        <f t="shared" si="40"/>
        <v>1016475.0588493152</v>
      </c>
      <c r="N183" s="1339">
        <v>5683417</v>
      </c>
      <c r="O183" s="1336">
        <v>5683416</v>
      </c>
      <c r="P183" s="1339">
        <v>2602947.022246575</v>
      </c>
      <c r="Q183" s="1339">
        <v>5683416</v>
      </c>
      <c r="R183" s="1336">
        <f t="shared" si="33"/>
        <v>5513062.3726840625</v>
      </c>
      <c r="S183" s="1336">
        <f t="shared" si="37"/>
        <v>8116009.3949306374</v>
      </c>
      <c r="T183" s="1350">
        <f t="shared" si="39"/>
        <v>0</v>
      </c>
      <c r="U183" s="1346"/>
      <c r="V183" s="1308"/>
    </row>
    <row r="184" spans="2:22" ht="47.25">
      <c r="B184" s="1323">
        <v>179</v>
      </c>
      <c r="C184" s="1374" t="s">
        <v>3776</v>
      </c>
      <c r="D184" s="621" t="s">
        <v>3742</v>
      </c>
      <c r="E184" s="1325">
        <v>7216943.4474730818</v>
      </c>
      <c r="F184" s="1325">
        <v>41019</v>
      </c>
      <c r="G184" s="1325">
        <v>42297</v>
      </c>
      <c r="H184" s="1325">
        <v>43208</v>
      </c>
      <c r="I184" s="1325">
        <v>911</v>
      </c>
      <c r="J184" s="1325">
        <v>1441015.9957584608</v>
      </c>
      <c r="K184" s="1325">
        <v>8657959.4432315417</v>
      </c>
      <c r="L184" s="1340">
        <v>7439947</v>
      </c>
      <c r="M184" s="1336">
        <v>1485543.3900273973</v>
      </c>
      <c r="N184" s="1340">
        <v>6647327</v>
      </c>
      <c r="O184" s="1336">
        <v>6647326</v>
      </c>
      <c r="P184" s="1340">
        <v>5233412.1672328701</v>
      </c>
      <c r="Q184" s="1339">
        <v>6647327</v>
      </c>
      <c r="R184" s="1336">
        <f t="shared" si="33"/>
        <v>6448081.2881947812</v>
      </c>
      <c r="S184" s="1336">
        <f t="shared" si="37"/>
        <v>11681493.45542765</v>
      </c>
      <c r="T184" s="1350">
        <f t="shared" si="39"/>
        <v>792620</v>
      </c>
      <c r="U184" s="1346"/>
      <c r="V184" s="1308"/>
    </row>
    <row r="185" spans="2:22" ht="15.75">
      <c r="B185" s="1323">
        <v>180</v>
      </c>
      <c r="C185" s="1374" t="s">
        <v>3743</v>
      </c>
      <c r="D185" s="621" t="s">
        <v>3802</v>
      </c>
      <c r="E185" s="1325"/>
      <c r="F185" s="1325"/>
      <c r="G185" s="1325"/>
      <c r="H185" s="1325"/>
      <c r="I185" s="1325"/>
      <c r="J185" s="1325"/>
      <c r="K185" s="1325"/>
      <c r="L185" s="1339">
        <v>24675000</v>
      </c>
      <c r="M185" s="1336"/>
      <c r="N185" s="1340">
        <v>1100000</v>
      </c>
      <c r="O185" s="1340"/>
      <c r="P185" s="1340">
        <v>0</v>
      </c>
      <c r="Q185" s="1340">
        <v>0</v>
      </c>
      <c r="R185" s="1340">
        <f t="shared" si="33"/>
        <v>0</v>
      </c>
      <c r="S185" s="1340">
        <f t="shared" si="37"/>
        <v>0</v>
      </c>
      <c r="T185" s="1352">
        <f t="shared" si="39"/>
        <v>24675000</v>
      </c>
      <c r="U185" s="1346"/>
      <c r="V185" s="1308"/>
    </row>
    <row r="186" spans="2:22" ht="15.75">
      <c r="B186" s="1323">
        <v>181</v>
      </c>
      <c r="C186" s="1374" t="s">
        <v>3744</v>
      </c>
      <c r="D186" s="621" t="s">
        <v>3745</v>
      </c>
      <c r="E186" s="1325">
        <v>5652422.1553981956</v>
      </c>
      <c r="F186" s="1325">
        <v>41149</v>
      </c>
      <c r="G186" s="1325">
        <v>42428</v>
      </c>
      <c r="H186" s="1325">
        <v>43208</v>
      </c>
      <c r="I186" s="1325">
        <v>780</v>
      </c>
      <c r="J186" s="1325">
        <v>966331.89725163684</v>
      </c>
      <c r="K186" s="1325">
        <v>6618754.0526498323</v>
      </c>
      <c r="L186" s="1340">
        <v>5827082</v>
      </c>
      <c r="M186" s="1336">
        <v>996191.55287671241</v>
      </c>
      <c r="N186" s="1339">
        <v>5815880</v>
      </c>
      <c r="O186" s="1336">
        <v>5815879</v>
      </c>
      <c r="P186" s="1339">
        <v>2420921.3784109587</v>
      </c>
      <c r="Q186" s="1339">
        <v>5815880</v>
      </c>
      <c r="R186" s="1336">
        <f t="shared" si="33"/>
        <v>5641555.9220098937</v>
      </c>
      <c r="S186" s="1336">
        <f t="shared" si="37"/>
        <v>8062477.3004208524</v>
      </c>
      <c r="T186" s="1350">
        <f t="shared" si="39"/>
        <v>11202</v>
      </c>
      <c r="U186" s="1346" t="s">
        <v>3746</v>
      </c>
      <c r="V186" s="1308"/>
    </row>
    <row r="187" spans="2:22" ht="15.75">
      <c r="B187" s="1323">
        <v>182</v>
      </c>
      <c r="C187" s="1374" t="s">
        <v>3771</v>
      </c>
      <c r="D187" s="621" t="s">
        <v>3772</v>
      </c>
      <c r="E187" s="1325">
        <v>6371475.409836065</v>
      </c>
      <c r="F187" s="1325">
        <v>40619</v>
      </c>
      <c r="G187" s="1325">
        <v>41899</v>
      </c>
      <c r="H187" s="1325">
        <v>43208</v>
      </c>
      <c r="I187" s="1325">
        <v>1309</v>
      </c>
      <c r="J187" s="1325">
        <v>1828002.479227487</v>
      </c>
      <c r="K187" s="1325">
        <v>8199477.889063552</v>
      </c>
      <c r="L187" s="1340">
        <v>6568354</v>
      </c>
      <c r="M187" s="1336">
        <v>2942359.9066301365</v>
      </c>
      <c r="N187" s="1339">
        <v>6536017</v>
      </c>
      <c r="O187" s="1336">
        <v>6536017</v>
      </c>
      <c r="P187" s="1339">
        <v>2942369.8748493148</v>
      </c>
      <c r="Q187" s="1339">
        <v>6536017</v>
      </c>
      <c r="R187" s="1336">
        <f t="shared" si="33"/>
        <v>6340107.672907168</v>
      </c>
      <c r="S187" s="1336">
        <f t="shared" si="37"/>
        <v>9282477.5477564819</v>
      </c>
      <c r="T187" s="1350">
        <f t="shared" si="39"/>
        <v>32337</v>
      </c>
      <c r="U187" s="1349" t="s">
        <v>3746</v>
      </c>
      <c r="V187" s="1308"/>
    </row>
    <row r="188" spans="2:22" ht="15.75">
      <c r="B188" s="1323">
        <v>183</v>
      </c>
      <c r="C188" s="1374" t="s">
        <v>3779</v>
      </c>
      <c r="D188" s="621" t="s">
        <v>3783</v>
      </c>
      <c r="E188" s="1325"/>
      <c r="F188" s="1325"/>
      <c r="G188" s="1325"/>
      <c r="H188" s="1325"/>
      <c r="I188" s="1325"/>
      <c r="J188" s="1325"/>
      <c r="K188" s="1325"/>
      <c r="L188" s="1340">
        <v>5038116</v>
      </c>
      <c r="M188" s="1336"/>
      <c r="N188" s="1339">
        <v>4861930</v>
      </c>
      <c r="O188" s="1336"/>
      <c r="P188" s="1339">
        <v>2295448.4030684927</v>
      </c>
      <c r="Q188" s="1339">
        <v>4861930</v>
      </c>
      <c r="R188" s="1336">
        <f t="shared" si="33"/>
        <v>4716199.4373848094</v>
      </c>
      <c r="S188" s="1336">
        <f t="shared" si="37"/>
        <v>7011647.8404533025</v>
      </c>
      <c r="T188" s="1350">
        <f t="shared" si="39"/>
        <v>176186</v>
      </c>
      <c r="U188" s="1349"/>
      <c r="V188" s="1308"/>
    </row>
    <row r="189" spans="2:22" ht="31.5">
      <c r="B189" s="1323">
        <v>184</v>
      </c>
      <c r="C189" s="1374" t="s">
        <v>3780</v>
      </c>
      <c r="D189" s="621" t="s">
        <v>3784</v>
      </c>
      <c r="E189" s="1325"/>
      <c r="F189" s="1325"/>
      <c r="G189" s="1325"/>
      <c r="H189" s="1325"/>
      <c r="I189" s="1325"/>
      <c r="J189" s="1325"/>
      <c r="K189" s="1325"/>
      <c r="L189" s="1340">
        <v>5657495</v>
      </c>
      <c r="M189" s="1336"/>
      <c r="N189" s="1339">
        <v>5657495</v>
      </c>
      <c r="O189" s="1336"/>
      <c r="P189" s="1339">
        <v>2025148.8075199998</v>
      </c>
      <c r="Q189" s="1339">
        <v>5657495</v>
      </c>
      <c r="R189" s="1336">
        <f t="shared" si="33"/>
        <v>5487918.3237947421</v>
      </c>
      <c r="S189" s="1336">
        <f t="shared" si="37"/>
        <v>7513067.1313147414</v>
      </c>
      <c r="T189" s="1350">
        <f t="shared" si="39"/>
        <v>0</v>
      </c>
      <c r="U189" s="1349"/>
      <c r="V189" s="1308"/>
    </row>
    <row r="190" spans="2:22" ht="15.75">
      <c r="B190" s="1323">
        <v>185</v>
      </c>
      <c r="C190" s="1374" t="s">
        <v>3781</v>
      </c>
      <c r="D190" s="621" t="s">
        <v>3785</v>
      </c>
      <c r="E190" s="1325"/>
      <c r="F190" s="1325"/>
      <c r="G190" s="1325"/>
      <c r="H190" s="1325"/>
      <c r="I190" s="1325"/>
      <c r="J190" s="1325"/>
      <c r="K190" s="1325"/>
      <c r="L190" s="1340">
        <v>6468323</v>
      </c>
      <c r="M190" s="1336"/>
      <c r="N190" s="1339">
        <v>6467848</v>
      </c>
      <c r="O190" s="1336"/>
      <c r="P190" s="1339">
        <v>2798248.3335890407</v>
      </c>
      <c r="Q190" s="1339">
        <v>6467848</v>
      </c>
      <c r="R190" s="1336">
        <f t="shared" si="33"/>
        <v>6273981.9575128527</v>
      </c>
      <c r="S190" s="1336">
        <f t="shared" si="37"/>
        <v>9072230.2911018934</v>
      </c>
      <c r="T190" s="1350">
        <f t="shared" si="39"/>
        <v>475</v>
      </c>
      <c r="U190" s="1349"/>
      <c r="V190" s="1308"/>
    </row>
    <row r="191" spans="2:22" ht="31.5">
      <c r="B191" s="1323">
        <v>186</v>
      </c>
      <c r="C191" s="1374" t="s">
        <v>3782</v>
      </c>
      <c r="D191" s="621" t="s">
        <v>3786</v>
      </c>
      <c r="E191" s="1325"/>
      <c r="F191" s="1325"/>
      <c r="G191" s="1325"/>
      <c r="H191" s="1325"/>
      <c r="I191" s="1325"/>
      <c r="J191" s="1325"/>
      <c r="K191" s="1325"/>
      <c r="L191" s="1340">
        <v>8603248</v>
      </c>
      <c r="M191" s="1336"/>
      <c r="N191" s="1339">
        <v>8603248</v>
      </c>
      <c r="O191" s="1336"/>
      <c r="P191" s="1339">
        <v>4127018.1646027397</v>
      </c>
      <c r="Q191" s="1339">
        <v>8603248</v>
      </c>
      <c r="R191" s="1336">
        <f t="shared" si="33"/>
        <v>8345375.8851488987</v>
      </c>
      <c r="S191" s="1336">
        <f t="shared" si="37"/>
        <v>12472394.049751639</v>
      </c>
      <c r="T191" s="1350">
        <f t="shared" si="39"/>
        <v>0</v>
      </c>
      <c r="U191" s="1349"/>
      <c r="V191" s="1308"/>
    </row>
    <row r="192" spans="2:22" ht="15.75">
      <c r="B192" s="1323">
        <v>187</v>
      </c>
      <c r="C192" s="1374" t="s">
        <v>3787</v>
      </c>
      <c r="D192" s="621" t="s">
        <v>3788</v>
      </c>
      <c r="E192" s="1325"/>
      <c r="F192" s="1325"/>
      <c r="G192" s="1325"/>
      <c r="H192" s="1325"/>
      <c r="I192" s="1325"/>
      <c r="J192" s="1325"/>
      <c r="K192" s="1325"/>
      <c r="L192" s="1340">
        <v>5811638.3799999999</v>
      </c>
      <c r="M192" s="1336"/>
      <c r="N192" s="1339">
        <f>+L192</f>
        <v>5811638.3799999999</v>
      </c>
      <c r="O192" s="1336"/>
      <c r="P192" s="1339">
        <v>3119303.8983802744</v>
      </c>
      <c r="Q192" s="1339">
        <v>5811638.3799999999</v>
      </c>
      <c r="R192" s="1336">
        <f t="shared" si="33"/>
        <v>5637441.4395188671</v>
      </c>
      <c r="S192" s="1336">
        <f t="shared" si="37"/>
        <v>8756745.337899141</v>
      </c>
      <c r="T192" s="1350">
        <f t="shared" si="39"/>
        <v>0</v>
      </c>
      <c r="U192" s="1349"/>
      <c r="V192" s="1308"/>
    </row>
    <row r="193" spans="2:4091 4097:5120 5126:6144 6146:9215 9221:10239 10241:13310 13316:16382" ht="15.75">
      <c r="B193" s="1323">
        <v>188</v>
      </c>
      <c r="C193" s="1374" t="s">
        <v>3791</v>
      </c>
      <c r="D193" s="621" t="s">
        <v>3792</v>
      </c>
      <c r="E193" s="1325"/>
      <c r="F193" s="1325"/>
      <c r="G193" s="1325"/>
      <c r="H193" s="1325"/>
      <c r="I193" s="1325"/>
      <c r="J193" s="1325"/>
      <c r="K193" s="1325"/>
      <c r="L193" s="1340">
        <v>5685196</v>
      </c>
      <c r="M193" s="1336"/>
      <c r="N193" s="1339">
        <v>5664432</v>
      </c>
      <c r="O193" s="1336"/>
      <c r="P193" s="1339">
        <v>2426912.9869589042</v>
      </c>
      <c r="Q193" s="1339">
        <v>5664432</v>
      </c>
      <c r="R193" s="1336">
        <f t="shared" si="33"/>
        <v>5494647.3954796782</v>
      </c>
      <c r="S193" s="1336">
        <f t="shared" si="37"/>
        <v>7921560.3824385824</v>
      </c>
      <c r="T193" s="1350">
        <f t="shared" si="39"/>
        <v>20764</v>
      </c>
      <c r="U193" s="1349"/>
      <c r="V193" s="1308"/>
    </row>
    <row r="194" spans="2:4091 4097:5120 5126:6144 6146:9215 9221:10239 10241:13310 13316:16382" ht="31.5">
      <c r="B194" s="1323">
        <v>189</v>
      </c>
      <c r="C194" s="1374" t="s">
        <v>3796</v>
      </c>
      <c r="D194" s="494" t="s">
        <v>3797</v>
      </c>
      <c r="E194" s="1325"/>
      <c r="F194" s="1325"/>
      <c r="G194" s="1325"/>
      <c r="H194" s="1325"/>
      <c r="I194" s="1325"/>
      <c r="J194" s="1325"/>
      <c r="K194" s="1325"/>
      <c r="L194" s="1340">
        <v>5473690</v>
      </c>
      <c r="M194" s="1336"/>
      <c r="N194" s="1339">
        <v>5333802.8599999994</v>
      </c>
      <c r="O194" s="1336"/>
      <c r="P194" s="1339">
        <v>2322460.9387769867</v>
      </c>
      <c r="Q194" s="1339">
        <v>5333802.8599999994</v>
      </c>
      <c r="R194" s="1336">
        <f t="shared" si="33"/>
        <v>5173928.4702686965</v>
      </c>
      <c r="S194" s="1336">
        <f t="shared" si="37"/>
        <v>7496389.4090456832</v>
      </c>
      <c r="T194" s="1350">
        <f t="shared" si="39"/>
        <v>139887.1400000006</v>
      </c>
      <c r="U194" s="1349"/>
      <c r="V194" s="1308"/>
    </row>
    <row r="195" spans="2:4091 4097:5120 5126:6144 6146:9215 9221:10239 10241:13310 13316:16382" ht="31.5">
      <c r="B195" s="1323">
        <v>190</v>
      </c>
      <c r="C195" s="1374" t="s">
        <v>3800</v>
      </c>
      <c r="D195" s="1329" t="s">
        <v>3801</v>
      </c>
      <c r="E195" s="1325"/>
      <c r="F195" s="1325"/>
      <c r="G195" s="1325"/>
      <c r="H195" s="1325"/>
      <c r="I195" s="1325"/>
      <c r="J195" s="1325"/>
      <c r="K195" s="1325"/>
      <c r="L195" s="1340">
        <v>5856740</v>
      </c>
      <c r="M195" s="1336"/>
      <c r="N195" s="1339">
        <f>+L195</f>
        <v>5856740</v>
      </c>
      <c r="O195" s="1336"/>
      <c r="P195" s="1339">
        <v>2726687.3567123287</v>
      </c>
      <c r="Q195" s="1339">
        <v>5856740</v>
      </c>
      <c r="R195" s="1336">
        <f t="shared" si="33"/>
        <v>5681191.1921621878</v>
      </c>
      <c r="S195" s="1336">
        <f t="shared" si="37"/>
        <v>8407878.548874516</v>
      </c>
      <c r="T195" s="1350">
        <f t="shared" si="39"/>
        <v>0</v>
      </c>
      <c r="U195" s="1349"/>
      <c r="V195" s="1308"/>
    </row>
    <row r="196" spans="2:4091 4097:5120 5126:6144 6146:9215 9221:10239 10241:13310 13316:16382">
      <c r="B196" s="1323"/>
      <c r="C196" s="1379" t="s">
        <v>3747</v>
      </c>
      <c r="D196" s="621"/>
      <c r="E196" s="1330" t="e">
        <f>#REF!+#REF!</f>
        <v>#REF!</v>
      </c>
      <c r="F196" s="1331"/>
      <c r="G196" s="1331"/>
      <c r="H196" s="1331"/>
      <c r="I196" s="1331"/>
      <c r="J196" s="1330" t="e">
        <f>#REF!+#REF!</f>
        <v>#REF!</v>
      </c>
      <c r="K196" s="1330" t="e">
        <f>#REF!+#REF!</f>
        <v>#REF!</v>
      </c>
      <c r="L196" s="1338">
        <f>SUM(L6:L195)</f>
        <v>1203065931.0800002</v>
      </c>
      <c r="M196" s="1338">
        <f>SUM(M6:M194)</f>
        <v>216267864.72683397</v>
      </c>
      <c r="N196" s="1338">
        <f>SUM(N6:N195)</f>
        <v>1153150886.24</v>
      </c>
      <c r="O196" s="1338">
        <f>SUM(O6:O194)</f>
        <v>1073744350.6100001</v>
      </c>
      <c r="P196" s="1338">
        <f>SUM(P6:P195)</f>
        <v>490504875.56490922</v>
      </c>
      <c r="Q196" s="1338">
        <f>SUM(Q6:Q195)</f>
        <v>1143270217.25</v>
      </c>
      <c r="R196" s="1338">
        <f>SUM(R6:R195)</f>
        <v>1109002053.7879529</v>
      </c>
      <c r="S196" s="1338">
        <f>SUM(S6:S194)</f>
        <v>1591099050.803987</v>
      </c>
      <c r="T196" s="1353">
        <f>SUM(T6:T194)</f>
        <v>53217709.519918889</v>
      </c>
      <c r="U196" s="1346"/>
      <c r="V196" s="1308"/>
    </row>
    <row r="197" spans="2:4091 4097:5120 5126:6144 6146:9215 9221:10239 10241:13310 13316:16382">
      <c r="B197" s="1354"/>
      <c r="C197" s="1380"/>
      <c r="D197" s="431"/>
      <c r="E197" s="1298"/>
      <c r="F197" s="1297"/>
      <c r="G197" s="1297"/>
      <c r="H197" s="1297"/>
      <c r="I197" s="1297"/>
      <c r="J197" s="1298"/>
      <c r="K197" s="1298"/>
      <c r="L197" s="1339"/>
      <c r="M197" s="1339"/>
      <c r="N197" s="1339"/>
      <c r="O197" s="1339"/>
      <c r="P197" s="1339"/>
      <c r="Q197" s="1339"/>
      <c r="R197" s="1339"/>
      <c r="S197" s="1339"/>
      <c r="T197" s="1355"/>
      <c r="U197" s="1346"/>
      <c r="V197" s="1308"/>
    </row>
    <row r="198" spans="2:4091 4097:5120 5126:6144 6146:9215 9221:10239 10241:13310 13316:16382">
      <c r="B198" s="1354"/>
      <c r="C198" s="1380" t="s">
        <v>33</v>
      </c>
      <c r="D198" s="431"/>
      <c r="E198" s="1298"/>
      <c r="F198" s="1297"/>
      <c r="G198" s="1297"/>
      <c r="H198" s="1297"/>
      <c r="I198" s="1297"/>
      <c r="J198" s="1298"/>
      <c r="K198" s="1298"/>
      <c r="L198" s="1339"/>
      <c r="M198" s="1339"/>
      <c r="N198" s="1339"/>
      <c r="O198" s="1339"/>
      <c r="P198" s="1339"/>
      <c r="Q198" s="1339"/>
      <c r="R198" s="1339"/>
      <c r="S198" s="1339"/>
      <c r="T198" s="1355"/>
      <c r="U198" s="1346"/>
      <c r="V198" s="1308"/>
    </row>
    <row r="199" spans="2:4091 4097:5120 5126:6144 6146:9215 9221:10239 10241:13310 13316:16382">
      <c r="B199" s="1354">
        <v>1</v>
      </c>
      <c r="C199" s="1378" t="s">
        <v>3748</v>
      </c>
      <c r="D199" s="431" t="s">
        <v>3749</v>
      </c>
      <c r="E199" s="1321">
        <v>4245131.4385488406</v>
      </c>
      <c r="F199" s="1322">
        <v>41382</v>
      </c>
      <c r="G199" s="1322">
        <f t="shared" ref="G199:G206" si="41">EDATE(F199,42)</f>
        <v>42661</v>
      </c>
      <c r="H199" s="1322">
        <v>43208</v>
      </c>
      <c r="I199" s="1322">
        <f t="shared" ref="I199:I206" si="42">H199-G199</f>
        <v>547</v>
      </c>
      <c r="J199" s="1322">
        <f t="shared" ref="J199:J206" si="43">E199*8/100/365*I199</f>
        <v>508950.55274218426</v>
      </c>
      <c r="K199" s="1322">
        <f t="shared" ref="K199:K206" si="44">E199+J199</f>
        <v>4754081.9912910247</v>
      </c>
      <c r="L199" s="1337">
        <f>VLOOKUP(D199,[2]Sheet1!$C$3:$E$223,3,0)</f>
        <v>4395084</v>
      </c>
      <c r="M199" s="1337">
        <f t="shared" ref="M199:M206" si="45">+L199*8/100/365*I199</f>
        <v>526928.42695890414</v>
      </c>
      <c r="N199" s="1337">
        <v>4376306</v>
      </c>
      <c r="O199" s="1337">
        <v>4376305</v>
      </c>
      <c r="P199" s="1337">
        <f>VLOOKUP(C199,'[1]Interest as per us on payment b'!$C$5:$E$185,3,0)</f>
        <v>1947822.0729863015</v>
      </c>
      <c r="Q199" s="1337">
        <v>4376306</v>
      </c>
      <c r="R199" s="1337">
        <f t="shared" ref="R199:R206" si="46">+Q199*100/103.09</f>
        <v>4245131.4385488406</v>
      </c>
      <c r="S199" s="1337">
        <f t="shared" ref="S199:S206" si="47">+R199+P199</f>
        <v>6192953.5115351416</v>
      </c>
      <c r="T199" s="1351">
        <v>0</v>
      </c>
      <c r="U199" s="1346"/>
      <c r="V199" s="1308" t="s">
        <v>3750</v>
      </c>
    </row>
    <row r="200" spans="2:4091 4097:5120 5126:6144 6146:9215 9221:10239 10241:13310 13316:16382">
      <c r="B200" s="1354">
        <v>2</v>
      </c>
      <c r="C200" s="1378" t="s">
        <v>3216</v>
      </c>
      <c r="D200" s="431" t="s">
        <v>3751</v>
      </c>
      <c r="E200" s="1321">
        <v>6045979.2414395185</v>
      </c>
      <c r="F200" s="1322">
        <v>41442</v>
      </c>
      <c r="G200" s="1322">
        <f t="shared" si="41"/>
        <v>42721</v>
      </c>
      <c r="H200" s="1322">
        <v>43208</v>
      </c>
      <c r="I200" s="1322">
        <f t="shared" si="42"/>
        <v>487</v>
      </c>
      <c r="J200" s="1322">
        <f t="shared" si="43"/>
        <v>645346.16779858526</v>
      </c>
      <c r="K200" s="1322">
        <f t="shared" si="44"/>
        <v>6691325.4092381038</v>
      </c>
      <c r="L200" s="1337">
        <f>VLOOKUP(C200,'[3]Home Buyers'!$D$2:$J$172,7,0)</f>
        <v>6232800</v>
      </c>
      <c r="M200" s="1337">
        <f t="shared" si="45"/>
        <v>665287.36438356165</v>
      </c>
      <c r="N200" s="1337">
        <v>6232800</v>
      </c>
      <c r="O200" s="1337">
        <f>12465600/2</f>
        <v>6232800</v>
      </c>
      <c r="P200" s="1337">
        <f>VLOOKUP(C200,'[1]Interest as per us on payment b'!$C$5:$E$185,3,0)</f>
        <v>6035399.5397260273</v>
      </c>
      <c r="Q200" s="1337">
        <f>+L200</f>
        <v>6232800</v>
      </c>
      <c r="R200" s="1337">
        <f t="shared" si="46"/>
        <v>6045979.2414395185</v>
      </c>
      <c r="S200" s="1337">
        <f t="shared" si="47"/>
        <v>12081378.781165546</v>
      </c>
      <c r="T200" s="1351">
        <f>+L200-Q200</f>
        <v>0</v>
      </c>
      <c r="U200" s="1346"/>
      <c r="V200" s="1308" t="s">
        <v>3752</v>
      </c>
    </row>
    <row r="201" spans="2:4091 4097:5120 5126:6144 6146:9215 9221:10239 10241:13310 13316:16382">
      <c r="B201" s="1354">
        <v>3</v>
      </c>
      <c r="C201" s="1378" t="s">
        <v>3216</v>
      </c>
      <c r="D201" s="431" t="s">
        <v>3753</v>
      </c>
      <c r="E201" s="1321">
        <v>6046076.2440585895</v>
      </c>
      <c r="F201" s="1322">
        <v>41442</v>
      </c>
      <c r="G201" s="1322">
        <f t="shared" si="41"/>
        <v>42721</v>
      </c>
      <c r="H201" s="1322">
        <v>43208</v>
      </c>
      <c r="I201" s="1322">
        <f t="shared" si="42"/>
        <v>487</v>
      </c>
      <c r="J201" s="1322">
        <f t="shared" si="43"/>
        <v>645356.52183156891</v>
      </c>
      <c r="K201" s="1322">
        <f t="shared" si="44"/>
        <v>6691432.7658901587</v>
      </c>
      <c r="L201" s="1337">
        <f>VLOOKUP(C201,'[3]Home Buyers'!$D$2:$J$172,7,0)</f>
        <v>6232800</v>
      </c>
      <c r="M201" s="1337">
        <f t="shared" si="45"/>
        <v>665287.36438356165</v>
      </c>
      <c r="N201" s="1337">
        <v>6232800</v>
      </c>
      <c r="O201" s="1337">
        <f>12465600/2</f>
        <v>6232800</v>
      </c>
      <c r="P201" s="1337">
        <f>VLOOKUP(C201,'[1]Interest as per us on payment b'!$C$5:$E$185,3,0)</f>
        <v>6035399.5397260273</v>
      </c>
      <c r="Q201" s="1337">
        <f>+L201</f>
        <v>6232800</v>
      </c>
      <c r="R201" s="1337">
        <f t="shared" si="46"/>
        <v>6045979.2414395185</v>
      </c>
      <c r="S201" s="1337">
        <f t="shared" si="47"/>
        <v>12081378.781165546</v>
      </c>
      <c r="T201" s="1351">
        <f>+L201-Q201</f>
        <v>0</v>
      </c>
      <c r="U201" s="1346"/>
      <c r="V201" s="1308" t="s">
        <v>3754</v>
      </c>
    </row>
    <row r="202" spans="2:4091 4097:5120 5126:6144 6146:9215 9221:10239 10241:13310 13316:16382" ht="30">
      <c r="B202" s="1354">
        <v>4</v>
      </c>
      <c r="C202" s="1378" t="s">
        <v>3407</v>
      </c>
      <c r="D202" s="431" t="s">
        <v>3755</v>
      </c>
      <c r="E202" s="1321">
        <v>4323655.0586865842</v>
      </c>
      <c r="F202" s="1322">
        <v>41382</v>
      </c>
      <c r="G202" s="1322">
        <f t="shared" si="41"/>
        <v>42661</v>
      </c>
      <c r="H202" s="1322">
        <v>43208</v>
      </c>
      <c r="I202" s="1322">
        <f t="shared" si="42"/>
        <v>547</v>
      </c>
      <c r="J202" s="1322">
        <f t="shared" si="43"/>
        <v>518364.78183047927</v>
      </c>
      <c r="K202" s="1322">
        <f t="shared" si="44"/>
        <v>4842019.8405170636</v>
      </c>
      <c r="L202" s="1337">
        <f>VLOOKUP(D202,[2]Sheet1!$C$3:$E$223,3,0)</f>
        <v>4457255.76</v>
      </c>
      <c r="M202" s="1337">
        <f t="shared" si="45"/>
        <v>534382.22481534246</v>
      </c>
      <c r="N202" s="1337">
        <f>VLOOKUP(C202,[4]Sheet1!$C$3:$E$224,3,0)</f>
        <v>4457256</v>
      </c>
      <c r="O202" s="1337">
        <f>VLOOKUP(C202,'[1]Interest as per us on payment b'!C37:D222,2,0)</f>
        <v>4457254</v>
      </c>
      <c r="P202" s="1337">
        <f>VLOOKUP(C202,'[1]Interest as per us on payment b'!$C$5:$E$185,3,0)</f>
        <v>2010018.1461917809</v>
      </c>
      <c r="Q202" s="1337">
        <f>+L202</f>
        <v>4457255.76</v>
      </c>
      <c r="R202" s="1337">
        <f t="shared" si="46"/>
        <v>4323654.8258802984</v>
      </c>
      <c r="S202" s="1337">
        <f t="shared" si="47"/>
        <v>6333672.9720720798</v>
      </c>
      <c r="T202" s="1351">
        <f>+L202-Q202</f>
        <v>0</v>
      </c>
      <c r="U202" s="1346"/>
      <c r="V202" s="1305" t="s">
        <v>3756</v>
      </c>
    </row>
    <row r="203" spans="2:4091 4097:5120 5126:6144 6146:9215 9221:10239 10241:13310 13316:16382">
      <c r="B203" s="1354">
        <v>5</v>
      </c>
      <c r="C203" s="1378" t="s">
        <v>3479</v>
      </c>
      <c r="D203" s="431" t="s">
        <v>3757</v>
      </c>
      <c r="E203" s="1321">
        <f>L203*100/103.09</f>
        <v>4508702.1049568336</v>
      </c>
      <c r="F203" s="1322">
        <v>41303</v>
      </c>
      <c r="G203" s="1322">
        <f t="shared" si="41"/>
        <v>42580</v>
      </c>
      <c r="H203" s="1322">
        <v>43208</v>
      </c>
      <c r="I203" s="1322">
        <f t="shared" si="42"/>
        <v>628</v>
      </c>
      <c r="J203" s="1322">
        <f t="shared" si="43"/>
        <v>620595.05137816793</v>
      </c>
      <c r="K203" s="1322">
        <f t="shared" si="44"/>
        <v>5129297.1563350018</v>
      </c>
      <c r="L203" s="1337">
        <f>VLOOKUP(C203,'[3]Home Buyers'!$D$2:$J$172,7,0)</f>
        <v>4648021</v>
      </c>
      <c r="M203" s="1337">
        <f t="shared" si="45"/>
        <v>639771.43846575345</v>
      </c>
      <c r="N203" s="1337">
        <f>VLOOKUP(C203,[4]Sheet1!$C$3:$E$224,3,0)</f>
        <v>7248021</v>
      </c>
      <c r="O203" s="1337">
        <v>7248021</v>
      </c>
      <c r="P203" s="1337">
        <f>VLOOKUP(C203,'[1]Interest as per us on payment b'!$C$5:$E$185,3,0)</f>
        <v>3416044.1575890416</v>
      </c>
      <c r="Q203" s="1337">
        <f>+L203</f>
        <v>4648021</v>
      </c>
      <c r="R203" s="1337">
        <f t="shared" si="46"/>
        <v>4508702.1049568336</v>
      </c>
      <c r="S203" s="1337">
        <f t="shared" si="47"/>
        <v>7924746.2625458753</v>
      </c>
      <c r="T203" s="1351">
        <f>+L203-Q203</f>
        <v>0</v>
      </c>
      <c r="U203" s="1346"/>
      <c r="V203" s="1308" t="s">
        <v>3758</v>
      </c>
    </row>
    <row r="204" spans="2:4091 4097:5120 5126:6144 6146:9215 9221:10239 10241:13310 13316:16382">
      <c r="B204" s="1354">
        <v>6</v>
      </c>
      <c r="C204" s="1378" t="s">
        <v>3430</v>
      </c>
      <c r="D204" s="431" t="s">
        <v>3759</v>
      </c>
      <c r="E204" s="1321">
        <v>5479881.6568047339</v>
      </c>
      <c r="F204" s="1322">
        <v>41261</v>
      </c>
      <c r="G204" s="1322">
        <f t="shared" si="41"/>
        <v>42539</v>
      </c>
      <c r="H204" s="1322">
        <v>43208</v>
      </c>
      <c r="I204" s="1322">
        <f t="shared" si="42"/>
        <v>669</v>
      </c>
      <c r="J204" s="1322">
        <f t="shared" si="43"/>
        <v>803515.79800599813</v>
      </c>
      <c r="K204" s="1322">
        <f t="shared" si="44"/>
        <v>6283397.454810732</v>
      </c>
      <c r="L204" s="1416">
        <v>5649210</v>
      </c>
      <c r="M204" s="1337">
        <f t="shared" si="45"/>
        <v>828344.43616438343</v>
      </c>
      <c r="N204" s="1337">
        <f>VLOOKUP(C204,[4]Sheet1!$C$3:$E$224,3,0)</f>
        <v>5649210</v>
      </c>
      <c r="O204" s="1337">
        <v>5649210</v>
      </c>
      <c r="P204" s="1337">
        <v>2380251.9197808215</v>
      </c>
      <c r="Q204" s="1337">
        <f>+N204</f>
        <v>5649210</v>
      </c>
      <c r="R204" s="1337">
        <f t="shared" si="46"/>
        <v>5479881.6568047339</v>
      </c>
      <c r="S204" s="1337">
        <f t="shared" si="47"/>
        <v>7860133.5765855554</v>
      </c>
      <c r="T204" s="1351">
        <f>+L204-Q204</f>
        <v>0</v>
      </c>
      <c r="U204" s="1346" t="s">
        <v>3760</v>
      </c>
      <c r="V204" s="1308" t="s">
        <v>3761</v>
      </c>
    </row>
    <row r="205" spans="2:4091 4097:5120 5126:6144 6146:9215 9221:10239 10241:13310 13316:16382">
      <c r="B205" s="1354">
        <v>7</v>
      </c>
      <c r="C205" s="1378" t="s">
        <v>3430</v>
      </c>
      <c r="D205" s="431" t="s">
        <v>3762</v>
      </c>
      <c r="E205" s="1321">
        <v>3749304.4912212631</v>
      </c>
      <c r="F205" s="1322">
        <v>41261</v>
      </c>
      <c r="G205" s="1322">
        <f t="shared" si="41"/>
        <v>42539</v>
      </c>
      <c r="H205" s="1322">
        <v>43208</v>
      </c>
      <c r="I205" s="1322">
        <f t="shared" si="42"/>
        <v>669</v>
      </c>
      <c r="J205" s="1322">
        <f t="shared" si="43"/>
        <v>549761.0311511287</v>
      </c>
      <c r="K205" s="1322">
        <f t="shared" si="44"/>
        <v>4299065.522372392</v>
      </c>
      <c r="L205" s="1337">
        <f>VLOOKUP(D205,[2]Sheet1!$C$3:$E$223,3,0)</f>
        <v>3865158</v>
      </c>
      <c r="M205" s="1337">
        <f t="shared" si="45"/>
        <v>566748.64701369859</v>
      </c>
      <c r="N205" s="1337">
        <v>3865153</v>
      </c>
      <c r="O205" s="1337">
        <v>3865158</v>
      </c>
      <c r="P205" s="1337">
        <v>1605281.8283835617</v>
      </c>
      <c r="Q205" s="1337">
        <f>+N205</f>
        <v>3865153</v>
      </c>
      <c r="R205" s="1337">
        <f t="shared" si="46"/>
        <v>3749299.6410903092</v>
      </c>
      <c r="S205" s="1337">
        <f t="shared" si="47"/>
        <v>5354581.4694738705</v>
      </c>
      <c r="T205" s="1351">
        <v>0</v>
      </c>
      <c r="U205" s="1346" t="s">
        <v>3760</v>
      </c>
      <c r="V205" s="1308" t="s">
        <v>3761</v>
      </c>
    </row>
    <row r="206" spans="2:4091 4097:5120 5126:6144 6146:9215 9221:10239 10241:13310 13316:16382">
      <c r="B206" s="1354">
        <v>8</v>
      </c>
      <c r="C206" s="1378" t="s">
        <v>3213</v>
      </c>
      <c r="D206" s="431" t="s">
        <v>3763</v>
      </c>
      <c r="E206" s="1321">
        <v>5014740.5179939857</v>
      </c>
      <c r="F206" s="1322">
        <v>40596</v>
      </c>
      <c r="G206" s="1322">
        <f t="shared" si="41"/>
        <v>41873</v>
      </c>
      <c r="H206" s="1322">
        <v>43208</v>
      </c>
      <c r="I206" s="1322">
        <f t="shared" si="42"/>
        <v>1335</v>
      </c>
      <c r="J206" s="1322">
        <f t="shared" si="43"/>
        <v>1467326.8145801581</v>
      </c>
      <c r="K206" s="1322">
        <f t="shared" si="44"/>
        <v>6482067.332574144</v>
      </c>
      <c r="L206" s="1337">
        <v>5000000</v>
      </c>
      <c r="M206" s="1337">
        <f t="shared" si="45"/>
        <v>1463013.6986301369</v>
      </c>
      <c r="N206" s="1337">
        <v>5169696</v>
      </c>
      <c r="O206" s="1337">
        <v>5169696</v>
      </c>
      <c r="P206" s="1337">
        <f>VLOOKUP(C206,'[1]Interest as per us on payment b'!$C$5:$E$185,3,0)</f>
        <v>2958465.3676712327</v>
      </c>
      <c r="Q206" s="1337">
        <f>+L206</f>
        <v>5000000</v>
      </c>
      <c r="R206" s="1337">
        <f t="shared" si="46"/>
        <v>4850130.9535357449</v>
      </c>
      <c r="S206" s="1337">
        <f t="shared" si="47"/>
        <v>7808596.3212069776</v>
      </c>
      <c r="T206" s="1351">
        <f>+L206-Q206</f>
        <v>0</v>
      </c>
      <c r="U206" s="1346" t="s">
        <v>3764</v>
      </c>
      <c r="V206" s="1308" t="s">
        <v>3765</v>
      </c>
    </row>
    <row r="207" spans="2:4091 4097:5120 5126:6144 6146:9215 9221:10239 10241:13310 13316:16382" s="1319" customFormat="1" ht="15.75" thickBot="1">
      <c r="B207" s="1356"/>
      <c r="C207" s="1381" t="s">
        <v>3769</v>
      </c>
      <c r="D207" s="1357"/>
      <c r="E207" s="1358">
        <f>SUM(E199:E206)</f>
        <v>39413470.753710352</v>
      </c>
      <c r="F207" s="1359"/>
      <c r="G207" s="1359"/>
      <c r="H207" s="1359"/>
      <c r="I207" s="1359"/>
      <c r="J207" s="1358">
        <f t="shared" ref="J207:T207" si="48">SUM(J199:J206)</f>
        <v>5759216.7193182707</v>
      </c>
      <c r="K207" s="1358">
        <f t="shared" si="48"/>
        <v>45172687.473028623</v>
      </c>
      <c r="L207" s="1382">
        <f t="shared" si="48"/>
        <v>40480328.759999998</v>
      </c>
      <c r="M207" s="1382">
        <f t="shared" si="48"/>
        <v>5889763.6008153427</v>
      </c>
      <c r="N207" s="1382">
        <f t="shared" si="48"/>
        <v>43231242</v>
      </c>
      <c r="O207" s="1382">
        <f t="shared" si="48"/>
        <v>43231244</v>
      </c>
      <c r="P207" s="1382">
        <f t="shared" si="48"/>
        <v>26388682.572054796</v>
      </c>
      <c r="Q207" s="1382">
        <f t="shared" si="48"/>
        <v>40461545.759999998</v>
      </c>
      <c r="R207" s="1382">
        <f t="shared" si="48"/>
        <v>39248759.103695795</v>
      </c>
      <c r="S207" s="1382">
        <f t="shared" si="48"/>
        <v>65637441.675750591</v>
      </c>
      <c r="T207" s="1383">
        <f t="shared" si="48"/>
        <v>0</v>
      </c>
      <c r="U207" s="1346"/>
      <c r="V207" s="1312"/>
      <c r="W207" s="1313"/>
      <c r="X207" s="1314"/>
      <c r="Y207" s="1313"/>
      <c r="Z207" s="1315"/>
      <c r="AA207" s="1316"/>
      <c r="AB207" s="1317"/>
      <c r="AC207" s="1316"/>
      <c r="AD207" s="1316"/>
      <c r="AE207" s="1315"/>
      <c r="AF207" s="1315"/>
      <c r="AG207" s="1318"/>
      <c r="AI207" s="1320"/>
      <c r="AJ207" s="1320"/>
      <c r="AK207" s="1318"/>
      <c r="AL207" s="1318"/>
      <c r="AR207" s="1313"/>
      <c r="AS207" s="1314"/>
      <c r="AT207" s="1313"/>
      <c r="AU207" s="1315"/>
      <c r="AV207" s="1316"/>
      <c r="AW207" s="1317"/>
      <c r="AX207" s="1316"/>
      <c r="AY207" s="1316"/>
      <c r="AZ207" s="1315"/>
      <c r="BA207" s="1315"/>
      <c r="BB207" s="1318"/>
      <c r="BD207" s="1320"/>
      <c r="BE207" s="1320"/>
      <c r="BF207" s="1318"/>
      <c r="BG207" s="1318"/>
      <c r="BM207" s="1313"/>
      <c r="BN207" s="1314"/>
      <c r="BO207" s="1313"/>
      <c r="BP207" s="1315"/>
      <c r="BQ207" s="1316"/>
      <c r="BR207" s="1317"/>
      <c r="BS207" s="1316"/>
      <c r="BT207" s="1316"/>
      <c r="BU207" s="1315"/>
      <c r="BV207" s="1315"/>
      <c r="BW207" s="1318"/>
      <c r="BY207" s="1320"/>
      <c r="BZ207" s="1320"/>
      <c r="CA207" s="1318"/>
      <c r="CB207" s="1318"/>
      <c r="CH207" s="1313"/>
      <c r="CI207" s="1314"/>
      <c r="CJ207" s="1313"/>
      <c r="CK207" s="1315"/>
      <c r="CL207" s="1316"/>
      <c r="CM207" s="1317"/>
      <c r="CN207" s="1316"/>
      <c r="CO207" s="1316"/>
      <c r="CP207" s="1315"/>
      <c r="CQ207" s="1315"/>
      <c r="CR207" s="1318"/>
      <c r="CT207" s="1320"/>
      <c r="CU207" s="1320"/>
      <c r="CV207" s="1318"/>
      <c r="CW207" s="1318"/>
      <c r="DC207" s="1313"/>
      <c r="DD207" s="1314"/>
      <c r="DE207" s="1313"/>
      <c r="DF207" s="1315"/>
      <c r="DG207" s="1316"/>
      <c r="DH207" s="1317"/>
      <c r="DI207" s="1316"/>
      <c r="DJ207" s="1316"/>
      <c r="DK207" s="1315"/>
      <c r="DL207" s="1315"/>
      <c r="DM207" s="1318"/>
      <c r="DO207" s="1320"/>
      <c r="DP207" s="1320"/>
      <c r="DQ207" s="1318"/>
      <c r="DR207" s="1318"/>
      <c r="DX207" s="1313"/>
      <c r="DY207" s="1314"/>
      <c r="DZ207" s="1313"/>
      <c r="EA207" s="1315"/>
      <c r="EB207" s="1316"/>
      <c r="EC207" s="1317"/>
      <c r="ED207" s="1316"/>
      <c r="EE207" s="1316"/>
      <c r="EF207" s="1315"/>
      <c r="EG207" s="1315"/>
      <c r="EH207" s="1318"/>
      <c r="EJ207" s="1320"/>
      <c r="EK207" s="1320"/>
      <c r="EL207" s="1318"/>
      <c r="EM207" s="1318"/>
      <c r="ES207" s="1313"/>
      <c r="ET207" s="1314"/>
      <c r="EU207" s="1313"/>
      <c r="EV207" s="1315"/>
      <c r="EW207" s="1316"/>
      <c r="EX207" s="1317"/>
      <c r="EY207" s="1316"/>
      <c r="EZ207" s="1316"/>
      <c r="FA207" s="1315"/>
      <c r="FB207" s="1315"/>
      <c r="FC207" s="1318"/>
      <c r="FE207" s="1320"/>
      <c r="FF207" s="1320"/>
      <c r="FG207" s="1318"/>
      <c r="FH207" s="1318"/>
      <c r="FN207" s="1313"/>
      <c r="FO207" s="1314"/>
      <c r="FP207" s="1313"/>
      <c r="FQ207" s="1315"/>
      <c r="FR207" s="1316"/>
      <c r="FS207" s="1317"/>
      <c r="FT207" s="1316"/>
      <c r="FU207" s="1316"/>
      <c r="FV207" s="1315"/>
      <c r="FW207" s="1315"/>
      <c r="FX207" s="1318"/>
      <c r="FZ207" s="1320"/>
      <c r="GA207" s="1320"/>
      <c r="GB207" s="1318"/>
      <c r="GC207" s="1318"/>
      <c r="GI207" s="1313"/>
      <c r="GJ207" s="1314"/>
      <c r="GK207" s="1313"/>
      <c r="GL207" s="1315"/>
      <c r="GM207" s="1316"/>
      <c r="GN207" s="1317"/>
      <c r="GO207" s="1316"/>
      <c r="GP207" s="1316"/>
      <c r="GQ207" s="1315"/>
      <c r="GR207" s="1315"/>
      <c r="GS207" s="1318"/>
      <c r="GU207" s="1320"/>
      <c r="GV207" s="1320"/>
      <c r="GW207" s="1318"/>
      <c r="GX207" s="1318"/>
      <c r="HD207" s="1313"/>
      <c r="HE207" s="1314"/>
      <c r="HF207" s="1313"/>
      <c r="HG207" s="1315"/>
      <c r="HH207" s="1316"/>
      <c r="HI207" s="1317"/>
      <c r="HJ207" s="1316"/>
      <c r="HK207" s="1316"/>
      <c r="HL207" s="1315"/>
      <c r="HM207" s="1315"/>
      <c r="HN207" s="1318"/>
      <c r="HP207" s="1320"/>
      <c r="HQ207" s="1320"/>
      <c r="HR207" s="1318"/>
      <c r="HS207" s="1318"/>
      <c r="HY207" s="1313"/>
      <c r="HZ207" s="1314"/>
      <c r="IA207" s="1313"/>
      <c r="IB207" s="1315"/>
      <c r="IC207" s="1316"/>
      <c r="ID207" s="1317"/>
      <c r="IE207" s="1316"/>
      <c r="IF207" s="1316"/>
      <c r="IG207" s="1315"/>
      <c r="IH207" s="1315"/>
      <c r="II207" s="1318"/>
      <c r="IK207" s="1320"/>
      <c r="IL207" s="1320"/>
      <c r="IM207" s="1318"/>
      <c r="IN207" s="1318"/>
      <c r="IT207" s="1313"/>
      <c r="IU207" s="1314"/>
      <c r="IV207" s="1313"/>
      <c r="IW207" s="1315"/>
      <c r="IX207" s="1316"/>
      <c r="IY207" s="1317"/>
      <c r="IZ207" s="1316"/>
      <c r="JA207" s="1316"/>
      <c r="JB207" s="1315"/>
      <c r="JC207" s="1315"/>
      <c r="JD207" s="1318"/>
      <c r="JF207" s="1320"/>
      <c r="JG207" s="1320"/>
      <c r="JH207" s="1318"/>
      <c r="JI207" s="1318"/>
      <c r="JO207" s="1313"/>
      <c r="JP207" s="1314"/>
      <c r="JQ207" s="1313"/>
      <c r="JR207" s="1315"/>
      <c r="JS207" s="1316"/>
      <c r="JT207" s="1317"/>
      <c r="JU207" s="1316"/>
      <c r="JV207" s="1316"/>
      <c r="JW207" s="1315"/>
      <c r="JX207" s="1315"/>
      <c r="JY207" s="1318"/>
      <c r="KA207" s="1320"/>
      <c r="KB207" s="1320"/>
      <c r="KC207" s="1318"/>
      <c r="KD207" s="1318"/>
      <c r="KJ207" s="1313"/>
      <c r="KK207" s="1314"/>
      <c r="KL207" s="1313"/>
      <c r="KM207" s="1315"/>
      <c r="KN207" s="1316"/>
      <c r="KO207" s="1317"/>
      <c r="KP207" s="1316"/>
      <c r="KQ207" s="1316"/>
      <c r="KR207" s="1315"/>
      <c r="KS207" s="1315"/>
      <c r="KT207" s="1318"/>
      <c r="KV207" s="1320"/>
      <c r="KW207" s="1320"/>
      <c r="KX207" s="1318"/>
      <c r="KY207" s="1318"/>
      <c r="LE207" s="1313"/>
      <c r="LF207" s="1314"/>
      <c r="LG207" s="1313"/>
      <c r="LH207" s="1315"/>
      <c r="LI207" s="1316"/>
      <c r="LJ207" s="1317"/>
      <c r="LK207" s="1316"/>
      <c r="LL207" s="1316"/>
      <c r="LM207" s="1315"/>
      <c r="LN207" s="1315"/>
      <c r="LO207" s="1318"/>
      <c r="LQ207" s="1320"/>
      <c r="LR207" s="1320"/>
      <c r="LS207" s="1318"/>
      <c r="LT207" s="1318"/>
      <c r="LZ207" s="1313"/>
      <c r="MA207" s="1314"/>
      <c r="MB207" s="1313"/>
      <c r="MC207" s="1315"/>
      <c r="MD207" s="1316"/>
      <c r="ME207" s="1317"/>
      <c r="MF207" s="1316"/>
      <c r="MG207" s="1316"/>
      <c r="MH207" s="1315"/>
      <c r="MI207" s="1315"/>
      <c r="MJ207" s="1318"/>
      <c r="ML207" s="1320"/>
      <c r="MM207" s="1320"/>
      <c r="MN207" s="1318"/>
      <c r="MO207" s="1318"/>
      <c r="MU207" s="1313"/>
      <c r="MV207" s="1314"/>
      <c r="MW207" s="1313"/>
      <c r="MX207" s="1315"/>
      <c r="MY207" s="1316"/>
      <c r="MZ207" s="1317"/>
      <c r="NA207" s="1316"/>
      <c r="NB207" s="1316"/>
      <c r="NC207" s="1315"/>
      <c r="ND207" s="1315"/>
      <c r="NE207" s="1318"/>
      <c r="NG207" s="1320"/>
      <c r="NH207" s="1320"/>
      <c r="NI207" s="1318"/>
      <c r="NJ207" s="1318"/>
      <c r="NP207" s="1313"/>
      <c r="NQ207" s="1314"/>
      <c r="NR207" s="1313"/>
      <c r="NS207" s="1315"/>
      <c r="NT207" s="1316"/>
      <c r="NU207" s="1317"/>
      <c r="NV207" s="1316"/>
      <c r="NW207" s="1316"/>
      <c r="NX207" s="1315"/>
      <c r="NY207" s="1315"/>
      <c r="NZ207" s="1318"/>
      <c r="OB207" s="1320"/>
      <c r="OC207" s="1320"/>
      <c r="OD207" s="1318"/>
      <c r="OE207" s="1318"/>
      <c r="OK207" s="1313"/>
      <c r="OL207" s="1314"/>
      <c r="OM207" s="1313"/>
      <c r="ON207" s="1315"/>
      <c r="OO207" s="1316"/>
      <c r="OP207" s="1317"/>
      <c r="OQ207" s="1316"/>
      <c r="OR207" s="1316"/>
      <c r="OS207" s="1315"/>
      <c r="OT207" s="1315"/>
      <c r="OU207" s="1318"/>
      <c r="OW207" s="1320"/>
      <c r="OX207" s="1320"/>
      <c r="OY207" s="1318"/>
      <c r="OZ207" s="1318"/>
      <c r="PF207" s="1313"/>
      <c r="PG207" s="1314"/>
      <c r="PH207" s="1313"/>
      <c r="PI207" s="1315"/>
      <c r="PJ207" s="1316"/>
      <c r="PK207" s="1317"/>
      <c r="PL207" s="1316"/>
      <c r="PM207" s="1316"/>
      <c r="PN207" s="1315"/>
      <c r="PO207" s="1315"/>
      <c r="PP207" s="1318"/>
      <c r="PR207" s="1320"/>
      <c r="PS207" s="1320"/>
      <c r="PT207" s="1318"/>
      <c r="PU207" s="1318"/>
      <c r="QA207" s="1313"/>
      <c r="QB207" s="1314"/>
      <c r="QC207" s="1313"/>
      <c r="QD207" s="1315"/>
      <c r="QE207" s="1316"/>
      <c r="QF207" s="1317"/>
      <c r="QG207" s="1316"/>
      <c r="QH207" s="1316"/>
      <c r="QI207" s="1315"/>
      <c r="QJ207" s="1315"/>
      <c r="QK207" s="1318"/>
      <c r="QM207" s="1320"/>
      <c r="QN207" s="1320"/>
      <c r="QO207" s="1318"/>
      <c r="QP207" s="1318"/>
      <c r="QV207" s="1313"/>
      <c r="QW207" s="1314"/>
      <c r="QX207" s="1313"/>
      <c r="QY207" s="1315"/>
      <c r="QZ207" s="1316"/>
      <c r="RA207" s="1317"/>
      <c r="RB207" s="1316"/>
      <c r="RC207" s="1316"/>
      <c r="RD207" s="1315"/>
      <c r="RE207" s="1315"/>
      <c r="RF207" s="1318"/>
      <c r="RH207" s="1320"/>
      <c r="RI207" s="1320"/>
      <c r="RJ207" s="1318"/>
      <c r="RK207" s="1318"/>
      <c r="RQ207" s="1313"/>
      <c r="RR207" s="1314"/>
      <c r="RS207" s="1313"/>
      <c r="RT207" s="1315"/>
      <c r="RU207" s="1316"/>
      <c r="RV207" s="1317"/>
      <c r="RW207" s="1316"/>
      <c r="RX207" s="1316"/>
      <c r="RY207" s="1315"/>
      <c r="RZ207" s="1315"/>
      <c r="SA207" s="1318"/>
      <c r="SC207" s="1320"/>
      <c r="SD207" s="1320"/>
      <c r="SE207" s="1318"/>
      <c r="SF207" s="1318"/>
      <c r="SL207" s="1313"/>
      <c r="SM207" s="1314"/>
      <c r="SN207" s="1313"/>
      <c r="SO207" s="1315"/>
      <c r="SP207" s="1316"/>
      <c r="SQ207" s="1317"/>
      <c r="SR207" s="1316"/>
      <c r="SS207" s="1316"/>
      <c r="ST207" s="1315"/>
      <c r="SU207" s="1315"/>
      <c r="SV207" s="1318"/>
      <c r="SX207" s="1320"/>
      <c r="SY207" s="1320"/>
      <c r="SZ207" s="1318"/>
      <c r="TA207" s="1318"/>
      <c r="TG207" s="1313"/>
      <c r="TH207" s="1314"/>
      <c r="TI207" s="1313"/>
      <c r="TJ207" s="1315"/>
      <c r="TK207" s="1316"/>
      <c r="TL207" s="1317"/>
      <c r="TM207" s="1316"/>
      <c r="TN207" s="1316"/>
      <c r="TO207" s="1315"/>
      <c r="TP207" s="1315"/>
      <c r="TQ207" s="1318"/>
      <c r="TS207" s="1320"/>
      <c r="TT207" s="1320"/>
      <c r="TU207" s="1318"/>
      <c r="TV207" s="1318"/>
      <c r="UB207" s="1313"/>
      <c r="UC207" s="1314"/>
      <c r="UD207" s="1313"/>
      <c r="UE207" s="1315"/>
      <c r="UF207" s="1316"/>
      <c r="UG207" s="1317"/>
      <c r="UH207" s="1316"/>
      <c r="UI207" s="1316"/>
      <c r="UJ207" s="1315"/>
      <c r="UK207" s="1315"/>
      <c r="UL207" s="1318"/>
      <c r="UN207" s="1320"/>
      <c r="UO207" s="1320"/>
      <c r="UP207" s="1318"/>
      <c r="UQ207" s="1318"/>
      <c r="UW207" s="1313"/>
      <c r="UX207" s="1314"/>
      <c r="UY207" s="1313"/>
      <c r="UZ207" s="1315"/>
      <c r="VA207" s="1316"/>
      <c r="VB207" s="1317"/>
      <c r="VC207" s="1316"/>
      <c r="VD207" s="1316"/>
      <c r="VE207" s="1315"/>
      <c r="VF207" s="1315"/>
      <c r="VG207" s="1318"/>
      <c r="VI207" s="1320"/>
      <c r="VJ207" s="1320"/>
      <c r="VK207" s="1318"/>
      <c r="VL207" s="1318"/>
      <c r="VR207" s="1313"/>
      <c r="VS207" s="1314"/>
      <c r="VT207" s="1313"/>
      <c r="VU207" s="1315"/>
      <c r="VV207" s="1316"/>
      <c r="VW207" s="1317"/>
      <c r="VX207" s="1316"/>
      <c r="VY207" s="1316"/>
      <c r="VZ207" s="1315"/>
      <c r="WA207" s="1315"/>
      <c r="WB207" s="1318"/>
      <c r="WD207" s="1320"/>
      <c r="WE207" s="1320"/>
      <c r="WF207" s="1318"/>
      <c r="WG207" s="1318"/>
      <c r="WM207" s="1313"/>
      <c r="WN207" s="1314"/>
      <c r="WO207" s="1313"/>
      <c r="WP207" s="1315"/>
      <c r="WQ207" s="1316"/>
      <c r="WR207" s="1317"/>
      <c r="WS207" s="1316"/>
      <c r="WT207" s="1316"/>
      <c r="WU207" s="1315"/>
      <c r="WV207" s="1315"/>
      <c r="WW207" s="1318"/>
      <c r="WY207" s="1320"/>
      <c r="WZ207" s="1320"/>
      <c r="XA207" s="1318"/>
      <c r="XB207" s="1318"/>
      <c r="XH207" s="1313"/>
      <c r="XI207" s="1314"/>
      <c r="XJ207" s="1313"/>
      <c r="XK207" s="1315"/>
      <c r="XL207" s="1316"/>
      <c r="XM207" s="1317"/>
      <c r="XN207" s="1316"/>
      <c r="XO207" s="1316"/>
      <c r="XP207" s="1315"/>
      <c r="XQ207" s="1315"/>
      <c r="XR207" s="1318"/>
      <c r="XT207" s="1320"/>
      <c r="XU207" s="1320"/>
      <c r="XV207" s="1318"/>
      <c r="XW207" s="1318"/>
      <c r="YC207" s="1313"/>
      <c r="YD207" s="1314"/>
      <c r="YE207" s="1313"/>
      <c r="YF207" s="1315"/>
      <c r="YG207" s="1316"/>
      <c r="YH207" s="1317"/>
      <c r="YI207" s="1316"/>
      <c r="YJ207" s="1316"/>
      <c r="YK207" s="1315"/>
      <c r="YL207" s="1315"/>
      <c r="YM207" s="1318"/>
      <c r="YO207" s="1320"/>
      <c r="YP207" s="1320"/>
      <c r="YQ207" s="1318"/>
      <c r="YR207" s="1318"/>
      <c r="YX207" s="1313"/>
      <c r="YY207" s="1314"/>
      <c r="YZ207" s="1313"/>
      <c r="ZA207" s="1315"/>
      <c r="ZB207" s="1316"/>
      <c r="ZC207" s="1317"/>
      <c r="ZD207" s="1316"/>
      <c r="ZE207" s="1316"/>
      <c r="ZF207" s="1315"/>
      <c r="ZG207" s="1315"/>
      <c r="ZH207" s="1318"/>
      <c r="ZJ207" s="1320"/>
      <c r="ZK207" s="1320"/>
      <c r="ZL207" s="1318"/>
      <c r="ZM207" s="1318"/>
      <c r="ZS207" s="1313"/>
      <c r="ZT207" s="1314"/>
      <c r="ZU207" s="1313"/>
      <c r="ZV207" s="1315"/>
      <c r="ZW207" s="1316"/>
      <c r="ZX207" s="1317"/>
      <c r="ZY207" s="1316"/>
      <c r="ZZ207" s="1316"/>
      <c r="AAA207" s="1315"/>
      <c r="AAB207" s="1315"/>
      <c r="AAC207" s="1318"/>
      <c r="AAE207" s="1320"/>
      <c r="AAF207" s="1320"/>
      <c r="AAG207" s="1318"/>
      <c r="AAH207" s="1318"/>
      <c r="AAN207" s="1313"/>
      <c r="AAO207" s="1314"/>
      <c r="AAP207" s="1313"/>
      <c r="AAQ207" s="1315"/>
      <c r="AAR207" s="1316"/>
      <c r="AAS207" s="1317"/>
      <c r="AAT207" s="1316"/>
      <c r="AAU207" s="1316"/>
      <c r="AAV207" s="1315"/>
      <c r="AAW207" s="1315"/>
      <c r="AAX207" s="1318"/>
      <c r="AAZ207" s="1320"/>
      <c r="ABA207" s="1320"/>
      <c r="ABB207" s="1318"/>
      <c r="ABC207" s="1318"/>
      <c r="ABI207" s="1313"/>
      <c r="ABJ207" s="1314"/>
      <c r="ABK207" s="1313"/>
      <c r="ABL207" s="1315"/>
      <c r="ABM207" s="1316"/>
      <c r="ABN207" s="1317"/>
      <c r="ABO207" s="1316"/>
      <c r="ABP207" s="1316"/>
      <c r="ABQ207" s="1315"/>
      <c r="ABR207" s="1315"/>
      <c r="ABS207" s="1318"/>
      <c r="ABU207" s="1320"/>
      <c r="ABV207" s="1320"/>
      <c r="ABW207" s="1318"/>
      <c r="ABX207" s="1318"/>
      <c r="ACD207" s="1313"/>
      <c r="ACE207" s="1314"/>
      <c r="ACF207" s="1313"/>
      <c r="ACG207" s="1315"/>
      <c r="ACH207" s="1316"/>
      <c r="ACI207" s="1317"/>
      <c r="ACJ207" s="1316"/>
      <c r="ACK207" s="1316"/>
      <c r="ACL207" s="1315"/>
      <c r="ACM207" s="1315"/>
      <c r="ACN207" s="1318"/>
      <c r="ACP207" s="1320"/>
      <c r="ACQ207" s="1320"/>
      <c r="ACR207" s="1318"/>
      <c r="ACS207" s="1318"/>
      <c r="ACY207" s="1313"/>
      <c r="ACZ207" s="1314"/>
      <c r="ADA207" s="1313"/>
      <c r="ADB207" s="1315"/>
      <c r="ADC207" s="1316"/>
      <c r="ADD207" s="1317"/>
      <c r="ADE207" s="1316"/>
      <c r="ADF207" s="1316"/>
      <c r="ADG207" s="1315"/>
      <c r="ADH207" s="1315"/>
      <c r="ADI207" s="1318"/>
      <c r="ADK207" s="1320"/>
      <c r="ADL207" s="1320"/>
      <c r="ADM207" s="1318"/>
      <c r="ADN207" s="1318"/>
      <c r="ADT207" s="1313"/>
      <c r="ADU207" s="1314"/>
      <c r="ADV207" s="1313"/>
      <c r="ADW207" s="1315"/>
      <c r="ADX207" s="1316"/>
      <c r="ADY207" s="1317"/>
      <c r="ADZ207" s="1316"/>
      <c r="AEA207" s="1316"/>
      <c r="AEB207" s="1315"/>
      <c r="AEC207" s="1315"/>
      <c r="AED207" s="1318"/>
      <c r="AEF207" s="1320"/>
      <c r="AEG207" s="1320"/>
      <c r="AEH207" s="1318"/>
      <c r="AEI207" s="1318"/>
      <c r="AEO207" s="1313"/>
      <c r="AEP207" s="1314"/>
      <c r="AEQ207" s="1313"/>
      <c r="AER207" s="1315"/>
      <c r="AES207" s="1316"/>
      <c r="AET207" s="1317"/>
      <c r="AEU207" s="1316"/>
      <c r="AEV207" s="1316"/>
      <c r="AEW207" s="1315"/>
      <c r="AEX207" s="1315"/>
      <c r="AEY207" s="1318"/>
      <c r="AFA207" s="1320"/>
      <c r="AFB207" s="1320"/>
      <c r="AFC207" s="1318"/>
      <c r="AFD207" s="1318"/>
      <c r="AFJ207" s="1313"/>
      <c r="AFK207" s="1314"/>
      <c r="AFL207" s="1313"/>
      <c r="AFM207" s="1315"/>
      <c r="AFN207" s="1316"/>
      <c r="AFO207" s="1317"/>
      <c r="AFP207" s="1316"/>
      <c r="AFQ207" s="1316"/>
      <c r="AFR207" s="1315"/>
      <c r="AFS207" s="1315"/>
      <c r="AFT207" s="1318"/>
      <c r="AFV207" s="1320"/>
      <c r="AFW207" s="1320"/>
      <c r="AFX207" s="1318"/>
      <c r="AFY207" s="1318"/>
      <c r="AGE207" s="1313"/>
      <c r="AGF207" s="1314"/>
      <c r="AGG207" s="1313"/>
      <c r="AGH207" s="1315"/>
      <c r="AGI207" s="1316"/>
      <c r="AGJ207" s="1317"/>
      <c r="AGK207" s="1316"/>
      <c r="AGL207" s="1316"/>
      <c r="AGM207" s="1315"/>
      <c r="AGN207" s="1315"/>
      <c r="AGO207" s="1318"/>
      <c r="AGQ207" s="1320"/>
      <c r="AGR207" s="1320"/>
      <c r="AGS207" s="1318"/>
      <c r="AGT207" s="1318"/>
      <c r="AGZ207" s="1313"/>
      <c r="AHA207" s="1314"/>
      <c r="AHB207" s="1313"/>
      <c r="AHC207" s="1315"/>
      <c r="AHD207" s="1316"/>
      <c r="AHE207" s="1317"/>
      <c r="AHF207" s="1316"/>
      <c r="AHG207" s="1316"/>
      <c r="AHH207" s="1315"/>
      <c r="AHI207" s="1315"/>
      <c r="AHJ207" s="1318"/>
      <c r="AHL207" s="1320"/>
      <c r="AHM207" s="1320"/>
      <c r="AHN207" s="1318"/>
      <c r="AHO207" s="1318"/>
      <c r="AHU207" s="1313"/>
      <c r="AHV207" s="1314"/>
      <c r="AHW207" s="1313"/>
      <c r="AHX207" s="1315"/>
      <c r="AHY207" s="1316"/>
      <c r="AHZ207" s="1317"/>
      <c r="AIA207" s="1316"/>
      <c r="AIB207" s="1316"/>
      <c r="AIC207" s="1315"/>
      <c r="AID207" s="1315"/>
      <c r="AIE207" s="1318"/>
      <c r="AIG207" s="1320"/>
      <c r="AIH207" s="1320"/>
      <c r="AII207" s="1318"/>
      <c r="AIJ207" s="1318"/>
      <c r="AIP207" s="1313"/>
      <c r="AIQ207" s="1314"/>
      <c r="AIR207" s="1313"/>
      <c r="AIS207" s="1315"/>
      <c r="AIT207" s="1316"/>
      <c r="AIU207" s="1317"/>
      <c r="AIV207" s="1316"/>
      <c r="AIW207" s="1316"/>
      <c r="AIX207" s="1315"/>
      <c r="AIY207" s="1315"/>
      <c r="AIZ207" s="1318"/>
      <c r="AJB207" s="1320"/>
      <c r="AJC207" s="1320"/>
      <c r="AJD207" s="1318"/>
      <c r="AJE207" s="1318"/>
      <c r="AJK207" s="1313"/>
      <c r="AJL207" s="1314"/>
      <c r="AJM207" s="1313"/>
      <c r="AJN207" s="1315"/>
      <c r="AJO207" s="1316"/>
      <c r="AJP207" s="1317"/>
      <c r="AJQ207" s="1316"/>
      <c r="AJR207" s="1316"/>
      <c r="AJS207" s="1315"/>
      <c r="AJT207" s="1315"/>
      <c r="AJU207" s="1318"/>
      <c r="AJW207" s="1320"/>
      <c r="AJX207" s="1320"/>
      <c r="AJY207" s="1318"/>
      <c r="AJZ207" s="1318"/>
      <c r="AKF207" s="1313"/>
      <c r="AKG207" s="1314"/>
      <c r="AKH207" s="1313"/>
      <c r="AKI207" s="1315"/>
      <c r="AKJ207" s="1316"/>
      <c r="AKK207" s="1317"/>
      <c r="AKL207" s="1316"/>
      <c r="AKM207" s="1316"/>
      <c r="AKN207" s="1315"/>
      <c r="AKO207" s="1315"/>
      <c r="AKP207" s="1318"/>
      <c r="AKR207" s="1320"/>
      <c r="AKS207" s="1320"/>
      <c r="AKT207" s="1318"/>
      <c r="AKU207" s="1318"/>
      <c r="ALA207" s="1313"/>
      <c r="ALB207" s="1314"/>
      <c r="ALC207" s="1313"/>
      <c r="ALD207" s="1315"/>
      <c r="ALE207" s="1316"/>
      <c r="ALF207" s="1317"/>
      <c r="ALG207" s="1316"/>
      <c r="ALH207" s="1316"/>
      <c r="ALI207" s="1315"/>
      <c r="ALJ207" s="1315"/>
      <c r="ALK207" s="1318"/>
      <c r="ALM207" s="1320"/>
      <c r="ALN207" s="1320"/>
      <c r="ALO207" s="1318"/>
      <c r="ALP207" s="1318"/>
      <c r="ALV207" s="1313"/>
      <c r="ALW207" s="1314"/>
      <c r="ALX207" s="1313"/>
      <c r="ALY207" s="1315"/>
      <c r="ALZ207" s="1316"/>
      <c r="AMA207" s="1317"/>
      <c r="AMB207" s="1316"/>
      <c r="AMC207" s="1316"/>
      <c r="AMD207" s="1315"/>
      <c r="AME207" s="1315"/>
      <c r="AMF207" s="1318"/>
      <c r="AMH207" s="1320"/>
      <c r="AMI207" s="1320"/>
      <c r="AMJ207" s="1318"/>
      <c r="AMK207" s="1318"/>
      <c r="AMQ207" s="1313"/>
      <c r="AMR207" s="1314"/>
      <c r="AMS207" s="1313"/>
      <c r="AMT207" s="1315"/>
      <c r="AMU207" s="1316"/>
      <c r="AMV207" s="1317"/>
      <c r="AMW207" s="1316"/>
      <c r="AMX207" s="1316"/>
      <c r="AMY207" s="1315"/>
      <c r="AMZ207" s="1315"/>
      <c r="ANA207" s="1318"/>
      <c r="ANC207" s="1320"/>
      <c r="AND207" s="1320"/>
      <c r="ANE207" s="1318"/>
      <c r="ANF207" s="1318"/>
      <c r="ANL207" s="1313"/>
      <c r="ANM207" s="1314"/>
      <c r="ANN207" s="1313"/>
      <c r="ANO207" s="1315"/>
      <c r="ANP207" s="1316"/>
      <c r="ANQ207" s="1317"/>
      <c r="ANR207" s="1316"/>
      <c r="ANS207" s="1316"/>
      <c r="ANT207" s="1315"/>
      <c r="ANU207" s="1315"/>
      <c r="ANV207" s="1318"/>
      <c r="ANX207" s="1320"/>
      <c r="ANY207" s="1320"/>
      <c r="ANZ207" s="1318"/>
      <c r="AOA207" s="1318"/>
      <c r="AOG207" s="1313"/>
      <c r="AOH207" s="1314"/>
      <c r="AOI207" s="1313"/>
      <c r="AOJ207" s="1315"/>
      <c r="AOK207" s="1316"/>
      <c r="AOL207" s="1317"/>
      <c r="AOM207" s="1316"/>
      <c r="AON207" s="1316"/>
      <c r="AOO207" s="1315"/>
      <c r="AOP207" s="1315"/>
      <c r="AOQ207" s="1318"/>
      <c r="AOS207" s="1320"/>
      <c r="AOT207" s="1320"/>
      <c r="AOU207" s="1318"/>
      <c r="AOV207" s="1318"/>
      <c r="APB207" s="1313"/>
      <c r="APC207" s="1314"/>
      <c r="APD207" s="1313"/>
      <c r="APE207" s="1315"/>
      <c r="APF207" s="1316"/>
      <c r="APG207" s="1317"/>
      <c r="APH207" s="1316"/>
      <c r="API207" s="1316"/>
      <c r="APJ207" s="1315"/>
      <c r="APK207" s="1315"/>
      <c r="APL207" s="1318"/>
      <c r="APN207" s="1320"/>
      <c r="APO207" s="1320"/>
      <c r="APP207" s="1318"/>
      <c r="APQ207" s="1318"/>
      <c r="APW207" s="1313"/>
      <c r="APX207" s="1314"/>
      <c r="APY207" s="1313"/>
      <c r="APZ207" s="1315"/>
      <c r="AQA207" s="1316"/>
      <c r="AQB207" s="1317"/>
      <c r="AQC207" s="1316"/>
      <c r="AQD207" s="1316"/>
      <c r="AQE207" s="1315"/>
      <c r="AQF207" s="1315"/>
      <c r="AQG207" s="1318"/>
      <c r="AQI207" s="1320"/>
      <c r="AQJ207" s="1320"/>
      <c r="AQK207" s="1318"/>
      <c r="AQL207" s="1318"/>
      <c r="AQR207" s="1313"/>
      <c r="AQS207" s="1314"/>
      <c r="AQT207" s="1313"/>
      <c r="AQU207" s="1315"/>
      <c r="AQV207" s="1316"/>
      <c r="AQW207" s="1317"/>
      <c r="AQX207" s="1316"/>
      <c r="AQY207" s="1316"/>
      <c r="AQZ207" s="1315"/>
      <c r="ARA207" s="1315"/>
      <c r="ARB207" s="1318"/>
      <c r="ARD207" s="1320"/>
      <c r="ARE207" s="1320"/>
      <c r="ARF207" s="1318"/>
      <c r="ARG207" s="1318"/>
      <c r="ARM207" s="1313"/>
      <c r="ARN207" s="1314"/>
      <c r="ARO207" s="1313"/>
      <c r="ARP207" s="1315"/>
      <c r="ARQ207" s="1316"/>
      <c r="ARR207" s="1317"/>
      <c r="ARS207" s="1316"/>
      <c r="ART207" s="1316"/>
      <c r="ARU207" s="1315"/>
      <c r="ARV207" s="1315"/>
      <c r="ARW207" s="1318"/>
      <c r="ARY207" s="1320"/>
      <c r="ARZ207" s="1320"/>
      <c r="ASA207" s="1318"/>
      <c r="ASB207" s="1318"/>
      <c r="ASH207" s="1313"/>
      <c r="ASI207" s="1314"/>
      <c r="ASJ207" s="1313"/>
      <c r="ASK207" s="1315"/>
      <c r="ASL207" s="1316"/>
      <c r="ASM207" s="1317"/>
      <c r="ASN207" s="1316"/>
      <c r="ASO207" s="1316"/>
      <c r="ASP207" s="1315"/>
      <c r="ASQ207" s="1315"/>
      <c r="ASR207" s="1318"/>
      <c r="AST207" s="1320"/>
      <c r="ASU207" s="1320"/>
      <c r="ASV207" s="1318"/>
      <c r="ASW207" s="1318"/>
      <c r="ATC207" s="1313"/>
      <c r="ATD207" s="1314"/>
      <c r="ATE207" s="1313"/>
      <c r="ATF207" s="1315"/>
      <c r="ATG207" s="1316"/>
      <c r="ATH207" s="1317"/>
      <c r="ATI207" s="1316"/>
      <c r="ATJ207" s="1316"/>
      <c r="ATK207" s="1315"/>
      <c r="ATL207" s="1315"/>
      <c r="ATM207" s="1318"/>
      <c r="ATO207" s="1320"/>
      <c r="ATP207" s="1320"/>
      <c r="ATQ207" s="1318"/>
      <c r="ATR207" s="1318"/>
      <c r="ATX207" s="1313"/>
      <c r="ATY207" s="1314"/>
      <c r="ATZ207" s="1313"/>
      <c r="AUA207" s="1315"/>
      <c r="AUB207" s="1316"/>
      <c r="AUC207" s="1317"/>
      <c r="AUD207" s="1316"/>
      <c r="AUE207" s="1316"/>
      <c r="AUF207" s="1315"/>
      <c r="AUG207" s="1315"/>
      <c r="AUH207" s="1318"/>
      <c r="AUJ207" s="1320"/>
      <c r="AUK207" s="1320"/>
      <c r="AUL207" s="1318"/>
      <c r="AUM207" s="1318"/>
      <c r="AUS207" s="1313"/>
      <c r="AUT207" s="1314"/>
      <c r="AUU207" s="1313"/>
      <c r="AUV207" s="1315"/>
      <c r="AUW207" s="1316"/>
      <c r="AUX207" s="1317"/>
      <c r="AUY207" s="1316"/>
      <c r="AUZ207" s="1316"/>
      <c r="AVA207" s="1315"/>
      <c r="AVB207" s="1315"/>
      <c r="AVC207" s="1318"/>
      <c r="AVE207" s="1320"/>
      <c r="AVF207" s="1320"/>
      <c r="AVG207" s="1318"/>
      <c r="AVH207" s="1318"/>
      <c r="AVN207" s="1313"/>
      <c r="AVO207" s="1314"/>
      <c r="AVP207" s="1313"/>
      <c r="AVQ207" s="1315"/>
      <c r="AVR207" s="1316"/>
      <c r="AVS207" s="1317"/>
      <c r="AVT207" s="1316"/>
      <c r="AVU207" s="1316"/>
      <c r="AVV207" s="1315"/>
      <c r="AVW207" s="1315"/>
      <c r="AVX207" s="1318"/>
      <c r="AVZ207" s="1320"/>
      <c r="AWA207" s="1320"/>
      <c r="AWB207" s="1318"/>
      <c r="AWC207" s="1318"/>
      <c r="AWI207" s="1313"/>
      <c r="AWJ207" s="1314"/>
      <c r="AWK207" s="1313"/>
      <c r="AWL207" s="1315"/>
      <c r="AWM207" s="1316"/>
      <c r="AWN207" s="1317"/>
      <c r="AWO207" s="1316"/>
      <c r="AWP207" s="1316"/>
      <c r="AWQ207" s="1315"/>
      <c r="AWR207" s="1315"/>
      <c r="AWS207" s="1318"/>
      <c r="AWU207" s="1320"/>
      <c r="AWV207" s="1320"/>
      <c r="AWW207" s="1318"/>
      <c r="AWX207" s="1318"/>
      <c r="AXD207" s="1313"/>
      <c r="AXE207" s="1314"/>
      <c r="AXF207" s="1313"/>
      <c r="AXG207" s="1315"/>
      <c r="AXH207" s="1316"/>
      <c r="AXI207" s="1317"/>
      <c r="AXJ207" s="1316"/>
      <c r="AXK207" s="1316"/>
      <c r="AXL207" s="1315"/>
      <c r="AXM207" s="1315"/>
      <c r="AXN207" s="1318"/>
      <c r="AXP207" s="1320"/>
      <c r="AXQ207" s="1320"/>
      <c r="AXR207" s="1318"/>
      <c r="AXS207" s="1318"/>
      <c r="AXY207" s="1313"/>
      <c r="AXZ207" s="1314"/>
      <c r="AYA207" s="1313"/>
      <c r="AYB207" s="1315"/>
      <c r="AYC207" s="1316"/>
      <c r="AYD207" s="1317"/>
      <c r="AYE207" s="1316"/>
      <c r="AYF207" s="1316"/>
      <c r="AYG207" s="1315"/>
      <c r="AYH207" s="1315"/>
      <c r="AYI207" s="1318"/>
      <c r="AYK207" s="1320"/>
      <c r="AYL207" s="1320"/>
      <c r="AYM207" s="1318"/>
      <c r="AYN207" s="1318"/>
      <c r="AYT207" s="1313"/>
      <c r="AYU207" s="1314"/>
      <c r="AYV207" s="1313"/>
      <c r="AYW207" s="1315"/>
      <c r="AYX207" s="1316"/>
      <c r="AYY207" s="1317"/>
      <c r="AYZ207" s="1316"/>
      <c r="AZA207" s="1316"/>
      <c r="AZB207" s="1315"/>
      <c r="AZC207" s="1315"/>
      <c r="AZD207" s="1318"/>
      <c r="AZF207" s="1320"/>
      <c r="AZG207" s="1320"/>
      <c r="AZH207" s="1318"/>
      <c r="AZI207" s="1318"/>
      <c r="AZO207" s="1313"/>
      <c r="AZP207" s="1314"/>
      <c r="AZQ207" s="1313"/>
      <c r="AZR207" s="1315"/>
      <c r="AZS207" s="1316"/>
      <c r="AZT207" s="1317"/>
      <c r="AZU207" s="1316"/>
      <c r="AZV207" s="1316"/>
      <c r="AZW207" s="1315"/>
      <c r="AZX207" s="1315"/>
      <c r="AZY207" s="1318"/>
      <c r="BAA207" s="1320"/>
      <c r="BAB207" s="1320"/>
      <c r="BAC207" s="1318"/>
      <c r="BAD207" s="1318"/>
      <c r="BAJ207" s="1313"/>
      <c r="BAK207" s="1314"/>
      <c r="BAL207" s="1313"/>
      <c r="BAM207" s="1315"/>
      <c r="BAN207" s="1316"/>
      <c r="BAO207" s="1317"/>
      <c r="BAP207" s="1316"/>
      <c r="BAQ207" s="1316"/>
      <c r="BAR207" s="1315"/>
      <c r="BAS207" s="1315"/>
      <c r="BAT207" s="1318"/>
      <c r="BAV207" s="1320"/>
      <c r="BAW207" s="1320"/>
      <c r="BAX207" s="1318"/>
      <c r="BAY207" s="1318"/>
      <c r="BBE207" s="1313"/>
      <c r="BBF207" s="1314"/>
      <c r="BBG207" s="1313"/>
      <c r="BBH207" s="1315"/>
      <c r="BBI207" s="1316"/>
      <c r="BBJ207" s="1317"/>
      <c r="BBK207" s="1316"/>
      <c r="BBL207" s="1316"/>
      <c r="BBM207" s="1315"/>
      <c r="BBN207" s="1315"/>
      <c r="BBO207" s="1318"/>
      <c r="BBQ207" s="1320"/>
      <c r="BBR207" s="1320"/>
      <c r="BBS207" s="1318"/>
      <c r="BBT207" s="1318"/>
      <c r="BBZ207" s="1313"/>
      <c r="BCA207" s="1314"/>
      <c r="BCB207" s="1313"/>
      <c r="BCC207" s="1315"/>
      <c r="BCD207" s="1316"/>
      <c r="BCE207" s="1317"/>
      <c r="BCF207" s="1316"/>
      <c r="BCG207" s="1316"/>
      <c r="BCH207" s="1315"/>
      <c r="BCI207" s="1315"/>
      <c r="BCJ207" s="1318"/>
      <c r="BCL207" s="1320"/>
      <c r="BCM207" s="1320"/>
      <c r="BCN207" s="1318"/>
      <c r="BCO207" s="1318"/>
      <c r="BCU207" s="1313"/>
      <c r="BCV207" s="1314"/>
      <c r="BCW207" s="1313"/>
      <c r="BCX207" s="1315"/>
      <c r="BCY207" s="1316"/>
      <c r="BCZ207" s="1317"/>
      <c r="BDA207" s="1316"/>
      <c r="BDB207" s="1316"/>
      <c r="BDC207" s="1315"/>
      <c r="BDD207" s="1315"/>
      <c r="BDE207" s="1318"/>
      <c r="BDG207" s="1320"/>
      <c r="BDH207" s="1320"/>
      <c r="BDI207" s="1318"/>
      <c r="BDJ207" s="1318"/>
      <c r="BDP207" s="1313"/>
      <c r="BDQ207" s="1314"/>
      <c r="BDR207" s="1313"/>
      <c r="BDS207" s="1315"/>
      <c r="BDT207" s="1316"/>
      <c r="BDU207" s="1317"/>
      <c r="BDV207" s="1316"/>
      <c r="BDW207" s="1316"/>
      <c r="BDX207" s="1315"/>
      <c r="BDY207" s="1315"/>
      <c r="BDZ207" s="1318"/>
      <c r="BEB207" s="1320"/>
      <c r="BEC207" s="1320"/>
      <c r="BED207" s="1318"/>
      <c r="BEE207" s="1318"/>
      <c r="BEK207" s="1313"/>
      <c r="BEL207" s="1314"/>
      <c r="BEM207" s="1313"/>
      <c r="BEN207" s="1315"/>
      <c r="BEO207" s="1316"/>
      <c r="BEP207" s="1317"/>
      <c r="BEQ207" s="1316"/>
      <c r="BER207" s="1316"/>
      <c r="BES207" s="1315"/>
      <c r="BET207" s="1315"/>
      <c r="BEU207" s="1318"/>
      <c r="BEW207" s="1320"/>
      <c r="BEX207" s="1320"/>
      <c r="BEY207" s="1318"/>
      <c r="BEZ207" s="1318"/>
      <c r="BFF207" s="1313"/>
      <c r="BFG207" s="1314"/>
      <c r="BFH207" s="1313"/>
      <c r="BFI207" s="1315"/>
      <c r="BFJ207" s="1316"/>
      <c r="BFK207" s="1317"/>
      <c r="BFL207" s="1316"/>
      <c r="BFM207" s="1316"/>
      <c r="BFN207" s="1315"/>
      <c r="BFO207" s="1315"/>
      <c r="BFP207" s="1318"/>
      <c r="BFR207" s="1320"/>
      <c r="BFS207" s="1320"/>
      <c r="BFT207" s="1318"/>
      <c r="BFU207" s="1318"/>
      <c r="BGA207" s="1313"/>
      <c r="BGB207" s="1314"/>
      <c r="BGC207" s="1313"/>
      <c r="BGD207" s="1315"/>
      <c r="BGE207" s="1316"/>
      <c r="BGF207" s="1317"/>
      <c r="BGG207" s="1316"/>
      <c r="BGH207" s="1316"/>
      <c r="BGI207" s="1315"/>
      <c r="BGJ207" s="1315"/>
      <c r="BGK207" s="1318"/>
      <c r="BGM207" s="1320"/>
      <c r="BGN207" s="1320"/>
      <c r="BGO207" s="1318"/>
      <c r="BGP207" s="1318"/>
      <c r="BGV207" s="1313"/>
      <c r="BGW207" s="1314"/>
      <c r="BGX207" s="1313"/>
      <c r="BGY207" s="1315"/>
      <c r="BGZ207" s="1316"/>
      <c r="BHA207" s="1317"/>
      <c r="BHB207" s="1316"/>
      <c r="BHC207" s="1316"/>
      <c r="BHD207" s="1315"/>
      <c r="BHE207" s="1315"/>
      <c r="BHF207" s="1318"/>
      <c r="BHH207" s="1320"/>
      <c r="BHI207" s="1320"/>
      <c r="BHJ207" s="1318"/>
      <c r="BHK207" s="1318"/>
      <c r="BHQ207" s="1313"/>
      <c r="BHR207" s="1314"/>
      <c r="BHS207" s="1313"/>
      <c r="BHT207" s="1315"/>
      <c r="BHU207" s="1316"/>
      <c r="BHV207" s="1317"/>
      <c r="BHW207" s="1316"/>
      <c r="BHX207" s="1316"/>
      <c r="BHY207" s="1315"/>
      <c r="BHZ207" s="1315"/>
      <c r="BIA207" s="1318"/>
      <c r="BIC207" s="1320"/>
      <c r="BID207" s="1320"/>
      <c r="BIE207" s="1318"/>
      <c r="BIF207" s="1318"/>
      <c r="BIL207" s="1313"/>
      <c r="BIM207" s="1314"/>
      <c r="BIN207" s="1313"/>
      <c r="BIO207" s="1315"/>
      <c r="BIP207" s="1316"/>
      <c r="BIQ207" s="1317"/>
      <c r="BIR207" s="1316"/>
      <c r="BIS207" s="1316"/>
      <c r="BIT207" s="1315"/>
      <c r="BIU207" s="1315"/>
      <c r="BIV207" s="1318"/>
      <c r="BIX207" s="1320"/>
      <c r="BIY207" s="1320"/>
      <c r="BIZ207" s="1318"/>
      <c r="BJA207" s="1318"/>
      <c r="BJG207" s="1313"/>
      <c r="BJH207" s="1314"/>
      <c r="BJI207" s="1313"/>
      <c r="BJJ207" s="1315"/>
      <c r="BJK207" s="1316"/>
      <c r="BJL207" s="1317"/>
      <c r="BJM207" s="1316"/>
      <c r="BJN207" s="1316"/>
      <c r="BJO207" s="1315"/>
      <c r="BJP207" s="1315"/>
      <c r="BJQ207" s="1318"/>
      <c r="BJS207" s="1320"/>
      <c r="BJT207" s="1320"/>
      <c r="BJU207" s="1318"/>
      <c r="BJV207" s="1318"/>
      <c r="BKB207" s="1313"/>
      <c r="BKC207" s="1314"/>
      <c r="BKD207" s="1313"/>
      <c r="BKE207" s="1315"/>
      <c r="BKF207" s="1316"/>
      <c r="BKG207" s="1317"/>
      <c r="BKH207" s="1316"/>
      <c r="BKI207" s="1316"/>
      <c r="BKJ207" s="1315"/>
      <c r="BKK207" s="1315"/>
      <c r="BKL207" s="1318"/>
      <c r="BKN207" s="1320"/>
      <c r="BKO207" s="1320"/>
      <c r="BKP207" s="1318"/>
      <c r="BKQ207" s="1318"/>
      <c r="BKW207" s="1313"/>
      <c r="BKX207" s="1314"/>
      <c r="BKY207" s="1313"/>
      <c r="BKZ207" s="1315"/>
      <c r="BLA207" s="1316"/>
      <c r="BLB207" s="1317"/>
      <c r="BLC207" s="1316"/>
      <c r="BLD207" s="1316"/>
      <c r="BLE207" s="1315"/>
      <c r="BLF207" s="1315"/>
      <c r="BLG207" s="1318"/>
      <c r="BLI207" s="1320"/>
      <c r="BLJ207" s="1320"/>
      <c r="BLK207" s="1318"/>
      <c r="BLL207" s="1318"/>
      <c r="BLR207" s="1313"/>
      <c r="BLS207" s="1314"/>
      <c r="BLT207" s="1313"/>
      <c r="BLU207" s="1315"/>
      <c r="BLV207" s="1316"/>
      <c r="BLW207" s="1317"/>
      <c r="BLX207" s="1316"/>
      <c r="BLY207" s="1316"/>
      <c r="BLZ207" s="1315"/>
      <c r="BMA207" s="1315"/>
      <c r="BMB207" s="1318"/>
      <c r="BMD207" s="1320"/>
      <c r="BME207" s="1320"/>
      <c r="BMF207" s="1318"/>
      <c r="BMG207" s="1318"/>
      <c r="BMM207" s="1313"/>
      <c r="BMN207" s="1314"/>
      <c r="BMO207" s="1313"/>
      <c r="BMP207" s="1315"/>
      <c r="BMQ207" s="1316"/>
      <c r="BMR207" s="1317"/>
      <c r="BMS207" s="1316"/>
      <c r="BMT207" s="1316"/>
      <c r="BMU207" s="1315"/>
      <c r="BMV207" s="1315"/>
      <c r="BMW207" s="1318"/>
      <c r="BMY207" s="1320"/>
      <c r="BMZ207" s="1320"/>
      <c r="BNA207" s="1318"/>
      <c r="BNB207" s="1318"/>
      <c r="BNH207" s="1313"/>
      <c r="BNI207" s="1314"/>
      <c r="BNJ207" s="1313"/>
      <c r="BNK207" s="1315"/>
      <c r="BNL207" s="1316"/>
      <c r="BNM207" s="1317"/>
      <c r="BNN207" s="1316"/>
      <c r="BNO207" s="1316"/>
      <c r="BNP207" s="1315"/>
      <c r="BNQ207" s="1315"/>
      <c r="BNR207" s="1318"/>
      <c r="BNT207" s="1320"/>
      <c r="BNU207" s="1320"/>
      <c r="BNV207" s="1318"/>
      <c r="BNW207" s="1318"/>
      <c r="BOC207" s="1313"/>
      <c r="BOD207" s="1314"/>
      <c r="BOE207" s="1313"/>
      <c r="BOF207" s="1315"/>
      <c r="BOG207" s="1316"/>
      <c r="BOH207" s="1317"/>
      <c r="BOI207" s="1316"/>
      <c r="BOJ207" s="1316"/>
      <c r="BOK207" s="1315"/>
      <c r="BOL207" s="1315"/>
      <c r="BOM207" s="1318"/>
      <c r="BOO207" s="1320"/>
      <c r="BOP207" s="1320"/>
      <c r="BOQ207" s="1318"/>
      <c r="BOR207" s="1318"/>
      <c r="BOX207" s="1313"/>
      <c r="BOY207" s="1314"/>
      <c r="BOZ207" s="1313"/>
      <c r="BPA207" s="1315"/>
      <c r="BPB207" s="1316"/>
      <c r="BPC207" s="1317"/>
      <c r="BPD207" s="1316"/>
      <c r="BPE207" s="1316"/>
      <c r="BPF207" s="1315"/>
      <c r="BPG207" s="1315"/>
      <c r="BPH207" s="1318"/>
      <c r="BPJ207" s="1320"/>
      <c r="BPK207" s="1320"/>
      <c r="BPL207" s="1318"/>
      <c r="BPM207" s="1318"/>
      <c r="BPS207" s="1313"/>
      <c r="BPT207" s="1314"/>
      <c r="BPU207" s="1313"/>
      <c r="BPV207" s="1315"/>
      <c r="BPW207" s="1316"/>
      <c r="BPX207" s="1317"/>
      <c r="BPY207" s="1316"/>
      <c r="BPZ207" s="1316"/>
      <c r="BQA207" s="1315"/>
      <c r="BQB207" s="1315"/>
      <c r="BQC207" s="1318"/>
      <c r="BQE207" s="1320"/>
      <c r="BQF207" s="1320"/>
      <c r="BQG207" s="1318"/>
      <c r="BQH207" s="1318"/>
      <c r="BQN207" s="1313"/>
      <c r="BQO207" s="1314"/>
      <c r="BQP207" s="1313"/>
      <c r="BQQ207" s="1315"/>
      <c r="BQR207" s="1316"/>
      <c r="BQS207" s="1317"/>
      <c r="BQT207" s="1316"/>
      <c r="BQU207" s="1316"/>
      <c r="BQV207" s="1315"/>
      <c r="BQW207" s="1315"/>
      <c r="BQX207" s="1318"/>
      <c r="BQZ207" s="1320"/>
      <c r="BRA207" s="1320"/>
      <c r="BRB207" s="1318"/>
      <c r="BRC207" s="1318"/>
      <c r="BRI207" s="1313"/>
      <c r="BRJ207" s="1314"/>
      <c r="BRK207" s="1313"/>
      <c r="BRL207" s="1315"/>
      <c r="BRM207" s="1316"/>
      <c r="BRN207" s="1317"/>
      <c r="BRO207" s="1316"/>
      <c r="BRP207" s="1316"/>
      <c r="BRQ207" s="1315"/>
      <c r="BRR207" s="1315"/>
      <c r="BRS207" s="1318"/>
      <c r="BRU207" s="1320"/>
      <c r="BRV207" s="1320"/>
      <c r="BRW207" s="1318"/>
      <c r="BRX207" s="1318"/>
      <c r="BSD207" s="1313"/>
      <c r="BSE207" s="1314"/>
      <c r="BSF207" s="1313"/>
      <c r="BSG207" s="1315"/>
      <c r="BSH207" s="1316"/>
      <c r="BSI207" s="1317"/>
      <c r="BSJ207" s="1316"/>
      <c r="BSK207" s="1316"/>
      <c r="BSL207" s="1315"/>
      <c r="BSM207" s="1315"/>
      <c r="BSN207" s="1318"/>
      <c r="BSP207" s="1320"/>
      <c r="BSQ207" s="1320"/>
      <c r="BSR207" s="1318"/>
      <c r="BSS207" s="1318"/>
      <c r="BSY207" s="1313"/>
      <c r="BSZ207" s="1314"/>
      <c r="BTA207" s="1313"/>
      <c r="BTB207" s="1315"/>
      <c r="BTC207" s="1316"/>
      <c r="BTD207" s="1317"/>
      <c r="BTE207" s="1316"/>
      <c r="BTF207" s="1316"/>
      <c r="BTG207" s="1315"/>
      <c r="BTH207" s="1315"/>
      <c r="BTI207" s="1318"/>
      <c r="BTK207" s="1320"/>
      <c r="BTL207" s="1320"/>
      <c r="BTM207" s="1318"/>
      <c r="BTN207" s="1318"/>
      <c r="BTT207" s="1313"/>
      <c r="BTU207" s="1314"/>
      <c r="BTV207" s="1313"/>
      <c r="BTW207" s="1315"/>
      <c r="BTX207" s="1316"/>
      <c r="BTY207" s="1317"/>
      <c r="BTZ207" s="1316"/>
      <c r="BUA207" s="1316"/>
      <c r="BUB207" s="1315"/>
      <c r="BUC207" s="1315"/>
      <c r="BUD207" s="1318"/>
      <c r="BUF207" s="1320"/>
      <c r="BUG207" s="1320"/>
      <c r="BUH207" s="1318"/>
      <c r="BUI207" s="1318"/>
      <c r="BUO207" s="1313"/>
      <c r="BUP207" s="1314"/>
      <c r="BUQ207" s="1313"/>
      <c r="BUR207" s="1315"/>
      <c r="BUS207" s="1316"/>
      <c r="BUT207" s="1317"/>
      <c r="BUU207" s="1316"/>
      <c r="BUV207" s="1316"/>
      <c r="BUW207" s="1315"/>
      <c r="BUX207" s="1315"/>
      <c r="BUY207" s="1318"/>
      <c r="BVA207" s="1320"/>
      <c r="BVB207" s="1320"/>
      <c r="BVC207" s="1318"/>
      <c r="BVD207" s="1318"/>
      <c r="BVJ207" s="1313"/>
      <c r="BVK207" s="1314"/>
      <c r="BVL207" s="1313"/>
      <c r="BVM207" s="1315"/>
      <c r="BVN207" s="1316"/>
      <c r="BVO207" s="1317"/>
      <c r="BVP207" s="1316"/>
      <c r="BVQ207" s="1316"/>
      <c r="BVR207" s="1315"/>
      <c r="BVS207" s="1315"/>
      <c r="BVT207" s="1318"/>
      <c r="BVV207" s="1320"/>
      <c r="BVW207" s="1320"/>
      <c r="BVX207" s="1318"/>
      <c r="BVY207" s="1318"/>
      <c r="BWE207" s="1313"/>
      <c r="BWF207" s="1314"/>
      <c r="BWG207" s="1313"/>
      <c r="BWH207" s="1315"/>
      <c r="BWI207" s="1316"/>
      <c r="BWJ207" s="1317"/>
      <c r="BWK207" s="1316"/>
      <c r="BWL207" s="1316"/>
      <c r="BWM207" s="1315"/>
      <c r="BWN207" s="1315"/>
      <c r="BWO207" s="1318"/>
      <c r="BWQ207" s="1320"/>
      <c r="BWR207" s="1320"/>
      <c r="BWS207" s="1318"/>
      <c r="BWT207" s="1318"/>
      <c r="BWZ207" s="1313"/>
      <c r="BXA207" s="1314"/>
      <c r="BXB207" s="1313"/>
      <c r="BXC207" s="1315"/>
      <c r="BXD207" s="1316"/>
      <c r="BXE207" s="1317"/>
      <c r="BXF207" s="1316"/>
      <c r="BXG207" s="1316"/>
      <c r="BXH207" s="1315"/>
      <c r="BXI207" s="1315"/>
      <c r="BXJ207" s="1318"/>
      <c r="BXL207" s="1320"/>
      <c r="BXM207" s="1320"/>
      <c r="BXN207" s="1318"/>
      <c r="BXO207" s="1318"/>
      <c r="BXU207" s="1313"/>
      <c r="BXV207" s="1314"/>
      <c r="BXW207" s="1313"/>
      <c r="BXX207" s="1315"/>
      <c r="BXY207" s="1316"/>
      <c r="BXZ207" s="1317"/>
      <c r="BYA207" s="1316"/>
      <c r="BYB207" s="1316"/>
      <c r="BYC207" s="1315"/>
      <c r="BYD207" s="1315"/>
      <c r="BYE207" s="1318"/>
      <c r="BYG207" s="1320"/>
      <c r="BYH207" s="1320"/>
      <c r="BYI207" s="1318"/>
      <c r="BYJ207" s="1318"/>
      <c r="BYP207" s="1313"/>
      <c r="BYQ207" s="1314"/>
      <c r="BYR207" s="1313"/>
      <c r="BYS207" s="1315"/>
      <c r="BYT207" s="1316"/>
      <c r="BYU207" s="1317"/>
      <c r="BYV207" s="1316"/>
      <c r="BYW207" s="1316"/>
      <c r="BYX207" s="1315"/>
      <c r="BYY207" s="1315"/>
      <c r="BYZ207" s="1318"/>
      <c r="BZB207" s="1320"/>
      <c r="BZC207" s="1320"/>
      <c r="BZD207" s="1318"/>
      <c r="BZE207" s="1318"/>
      <c r="BZK207" s="1313"/>
      <c r="BZL207" s="1314"/>
      <c r="BZM207" s="1313"/>
      <c r="BZN207" s="1315"/>
      <c r="BZO207" s="1316"/>
      <c r="BZP207" s="1317"/>
      <c r="BZQ207" s="1316"/>
      <c r="BZR207" s="1316"/>
      <c r="BZS207" s="1315"/>
      <c r="BZT207" s="1315"/>
      <c r="BZU207" s="1318"/>
      <c r="BZW207" s="1320"/>
      <c r="BZX207" s="1320"/>
      <c r="BZY207" s="1318"/>
      <c r="BZZ207" s="1318"/>
      <c r="CAF207" s="1313"/>
      <c r="CAG207" s="1314"/>
      <c r="CAH207" s="1313"/>
      <c r="CAI207" s="1315"/>
      <c r="CAJ207" s="1316"/>
      <c r="CAK207" s="1317"/>
      <c r="CAL207" s="1316"/>
      <c r="CAM207" s="1316"/>
      <c r="CAN207" s="1315"/>
      <c r="CAO207" s="1315"/>
      <c r="CAP207" s="1318"/>
      <c r="CAR207" s="1320"/>
      <c r="CAS207" s="1320"/>
      <c r="CAT207" s="1318"/>
      <c r="CAU207" s="1318"/>
      <c r="CBA207" s="1313"/>
      <c r="CBB207" s="1314"/>
      <c r="CBC207" s="1313"/>
      <c r="CBD207" s="1315"/>
      <c r="CBE207" s="1316"/>
      <c r="CBF207" s="1317"/>
      <c r="CBG207" s="1316"/>
      <c r="CBH207" s="1316"/>
      <c r="CBI207" s="1315"/>
      <c r="CBJ207" s="1315"/>
      <c r="CBK207" s="1318"/>
      <c r="CBM207" s="1320"/>
      <c r="CBN207" s="1320"/>
      <c r="CBO207" s="1318"/>
      <c r="CBP207" s="1318"/>
      <c r="CBV207" s="1313"/>
      <c r="CBW207" s="1314"/>
      <c r="CBX207" s="1313"/>
      <c r="CBY207" s="1315"/>
      <c r="CBZ207" s="1316"/>
      <c r="CCA207" s="1317"/>
      <c r="CCB207" s="1316"/>
      <c r="CCC207" s="1316"/>
      <c r="CCD207" s="1315"/>
      <c r="CCE207" s="1315"/>
      <c r="CCF207" s="1318"/>
      <c r="CCH207" s="1320"/>
      <c r="CCI207" s="1320"/>
      <c r="CCJ207" s="1318"/>
      <c r="CCK207" s="1318"/>
      <c r="CCQ207" s="1313"/>
      <c r="CCR207" s="1314"/>
      <c r="CCS207" s="1313"/>
      <c r="CCT207" s="1315"/>
      <c r="CCU207" s="1316"/>
      <c r="CCV207" s="1317"/>
      <c r="CCW207" s="1316"/>
      <c r="CCX207" s="1316"/>
      <c r="CCY207" s="1315"/>
      <c r="CCZ207" s="1315"/>
      <c r="CDA207" s="1318"/>
      <c r="CDC207" s="1320"/>
      <c r="CDD207" s="1320"/>
      <c r="CDE207" s="1318"/>
      <c r="CDF207" s="1318"/>
      <c r="CDL207" s="1313"/>
      <c r="CDM207" s="1314"/>
      <c r="CDN207" s="1313"/>
      <c r="CDO207" s="1315"/>
      <c r="CDP207" s="1316"/>
      <c r="CDQ207" s="1317"/>
      <c r="CDR207" s="1316"/>
      <c r="CDS207" s="1316"/>
      <c r="CDT207" s="1315"/>
      <c r="CDU207" s="1315"/>
      <c r="CDV207" s="1318"/>
      <c r="CDX207" s="1320"/>
      <c r="CDY207" s="1320"/>
      <c r="CDZ207" s="1318"/>
      <c r="CEA207" s="1318"/>
      <c r="CEG207" s="1313"/>
      <c r="CEH207" s="1314"/>
      <c r="CEI207" s="1313"/>
      <c r="CEJ207" s="1315"/>
      <c r="CEK207" s="1316"/>
      <c r="CEL207" s="1317"/>
      <c r="CEM207" s="1316"/>
      <c r="CEN207" s="1316"/>
      <c r="CEO207" s="1315"/>
      <c r="CEP207" s="1315"/>
      <c r="CEQ207" s="1318"/>
      <c r="CES207" s="1320"/>
      <c r="CET207" s="1320"/>
      <c r="CEU207" s="1318"/>
      <c r="CEV207" s="1318"/>
      <c r="CFB207" s="1313"/>
      <c r="CFC207" s="1314"/>
      <c r="CFD207" s="1313"/>
      <c r="CFE207" s="1315"/>
      <c r="CFF207" s="1316"/>
      <c r="CFG207" s="1317"/>
      <c r="CFH207" s="1316"/>
      <c r="CFI207" s="1316"/>
      <c r="CFJ207" s="1315"/>
      <c r="CFK207" s="1315"/>
      <c r="CFL207" s="1318"/>
      <c r="CFN207" s="1320"/>
      <c r="CFO207" s="1320"/>
      <c r="CFP207" s="1318"/>
      <c r="CFQ207" s="1318"/>
      <c r="CFW207" s="1313"/>
      <c r="CFX207" s="1314"/>
      <c r="CFY207" s="1313"/>
      <c r="CFZ207" s="1315"/>
      <c r="CGA207" s="1316"/>
      <c r="CGB207" s="1317"/>
      <c r="CGC207" s="1316"/>
      <c r="CGD207" s="1316"/>
      <c r="CGE207" s="1315"/>
      <c r="CGF207" s="1315"/>
      <c r="CGG207" s="1318"/>
      <c r="CGI207" s="1320"/>
      <c r="CGJ207" s="1320"/>
      <c r="CGK207" s="1318"/>
      <c r="CGL207" s="1318"/>
      <c r="CGR207" s="1313"/>
      <c r="CGS207" s="1314"/>
      <c r="CGT207" s="1313"/>
      <c r="CGU207" s="1315"/>
      <c r="CGV207" s="1316"/>
      <c r="CGW207" s="1317"/>
      <c r="CGX207" s="1316"/>
      <c r="CGY207" s="1316"/>
      <c r="CGZ207" s="1315"/>
      <c r="CHA207" s="1315"/>
      <c r="CHB207" s="1318"/>
      <c r="CHD207" s="1320"/>
      <c r="CHE207" s="1320"/>
      <c r="CHF207" s="1318"/>
      <c r="CHG207" s="1318"/>
      <c r="CHM207" s="1313"/>
      <c r="CHN207" s="1314"/>
      <c r="CHO207" s="1313"/>
      <c r="CHP207" s="1315"/>
      <c r="CHQ207" s="1316"/>
      <c r="CHR207" s="1317"/>
      <c r="CHS207" s="1316"/>
      <c r="CHT207" s="1316"/>
      <c r="CHU207" s="1315"/>
      <c r="CHV207" s="1315"/>
      <c r="CHW207" s="1318"/>
      <c r="CHY207" s="1320"/>
      <c r="CHZ207" s="1320"/>
      <c r="CIA207" s="1318"/>
      <c r="CIB207" s="1318"/>
      <c r="CIH207" s="1313"/>
      <c r="CII207" s="1314"/>
      <c r="CIJ207" s="1313"/>
      <c r="CIK207" s="1315"/>
      <c r="CIL207" s="1316"/>
      <c r="CIM207" s="1317"/>
      <c r="CIN207" s="1316"/>
      <c r="CIO207" s="1316"/>
      <c r="CIP207" s="1315"/>
      <c r="CIQ207" s="1315"/>
      <c r="CIR207" s="1318"/>
      <c r="CIT207" s="1320"/>
      <c r="CIU207" s="1320"/>
      <c r="CIV207" s="1318"/>
      <c r="CIW207" s="1318"/>
      <c r="CJC207" s="1313"/>
      <c r="CJD207" s="1314"/>
      <c r="CJE207" s="1313"/>
      <c r="CJF207" s="1315"/>
      <c r="CJG207" s="1316"/>
      <c r="CJH207" s="1317"/>
      <c r="CJI207" s="1316"/>
      <c r="CJJ207" s="1316"/>
      <c r="CJK207" s="1315"/>
      <c r="CJL207" s="1315"/>
      <c r="CJM207" s="1318"/>
      <c r="CJO207" s="1320"/>
      <c r="CJP207" s="1320"/>
      <c r="CJQ207" s="1318"/>
      <c r="CJR207" s="1318"/>
      <c r="CJX207" s="1313"/>
      <c r="CJY207" s="1314"/>
      <c r="CJZ207" s="1313"/>
      <c r="CKA207" s="1315"/>
      <c r="CKB207" s="1316"/>
      <c r="CKC207" s="1317"/>
      <c r="CKD207" s="1316"/>
      <c r="CKE207" s="1316"/>
      <c r="CKF207" s="1315"/>
      <c r="CKG207" s="1315"/>
      <c r="CKH207" s="1318"/>
      <c r="CKJ207" s="1320"/>
      <c r="CKK207" s="1320"/>
      <c r="CKL207" s="1318"/>
      <c r="CKM207" s="1318"/>
      <c r="CKS207" s="1313"/>
      <c r="CKT207" s="1314"/>
      <c r="CKU207" s="1313"/>
      <c r="CKV207" s="1315"/>
      <c r="CKW207" s="1316"/>
      <c r="CKX207" s="1317"/>
      <c r="CKY207" s="1316"/>
      <c r="CKZ207" s="1316"/>
      <c r="CLA207" s="1315"/>
      <c r="CLB207" s="1315"/>
      <c r="CLC207" s="1318"/>
      <c r="CLE207" s="1320"/>
      <c r="CLF207" s="1320"/>
      <c r="CLG207" s="1318"/>
      <c r="CLH207" s="1318"/>
      <c r="CLN207" s="1313"/>
      <c r="CLO207" s="1314"/>
      <c r="CLP207" s="1313"/>
      <c r="CLQ207" s="1315"/>
      <c r="CLR207" s="1316"/>
      <c r="CLS207" s="1317"/>
      <c r="CLT207" s="1316"/>
      <c r="CLU207" s="1316"/>
      <c r="CLV207" s="1315"/>
      <c r="CLW207" s="1315"/>
      <c r="CLX207" s="1318"/>
      <c r="CLZ207" s="1320"/>
      <c r="CMA207" s="1320"/>
      <c r="CMB207" s="1318"/>
      <c r="CMC207" s="1318"/>
      <c r="CMI207" s="1313"/>
      <c r="CMJ207" s="1314"/>
      <c r="CMK207" s="1313"/>
      <c r="CML207" s="1315"/>
      <c r="CMM207" s="1316"/>
      <c r="CMN207" s="1317"/>
      <c r="CMO207" s="1316"/>
      <c r="CMP207" s="1316"/>
      <c r="CMQ207" s="1315"/>
      <c r="CMR207" s="1315"/>
      <c r="CMS207" s="1318"/>
      <c r="CMU207" s="1320"/>
      <c r="CMV207" s="1320"/>
      <c r="CMW207" s="1318"/>
      <c r="CMX207" s="1318"/>
      <c r="CND207" s="1313"/>
      <c r="CNE207" s="1314"/>
      <c r="CNF207" s="1313"/>
      <c r="CNG207" s="1315"/>
      <c r="CNH207" s="1316"/>
      <c r="CNI207" s="1317"/>
      <c r="CNJ207" s="1316"/>
      <c r="CNK207" s="1316"/>
      <c r="CNL207" s="1315"/>
      <c r="CNM207" s="1315"/>
      <c r="CNN207" s="1318"/>
      <c r="CNP207" s="1320"/>
      <c r="CNQ207" s="1320"/>
      <c r="CNR207" s="1318"/>
      <c r="CNS207" s="1318"/>
      <c r="CNY207" s="1313"/>
      <c r="CNZ207" s="1314"/>
      <c r="COA207" s="1313"/>
      <c r="COB207" s="1315"/>
      <c r="COC207" s="1316"/>
      <c r="COD207" s="1317"/>
      <c r="COE207" s="1316"/>
      <c r="COF207" s="1316"/>
      <c r="COG207" s="1315"/>
      <c r="COH207" s="1315"/>
      <c r="COI207" s="1318"/>
      <c r="COK207" s="1320"/>
      <c r="COL207" s="1320"/>
      <c r="COM207" s="1318"/>
      <c r="CON207" s="1318"/>
      <c r="COT207" s="1313"/>
      <c r="COU207" s="1314"/>
      <c r="COV207" s="1313"/>
      <c r="COW207" s="1315"/>
      <c r="COX207" s="1316"/>
      <c r="COY207" s="1317"/>
      <c r="COZ207" s="1316"/>
      <c r="CPA207" s="1316"/>
      <c r="CPB207" s="1315"/>
      <c r="CPC207" s="1315"/>
      <c r="CPD207" s="1318"/>
      <c r="CPF207" s="1320"/>
      <c r="CPG207" s="1320"/>
      <c r="CPH207" s="1318"/>
      <c r="CPI207" s="1318"/>
      <c r="CPO207" s="1313"/>
      <c r="CPP207" s="1314"/>
      <c r="CPQ207" s="1313"/>
      <c r="CPR207" s="1315"/>
      <c r="CPS207" s="1316"/>
      <c r="CPT207" s="1317"/>
      <c r="CPU207" s="1316"/>
      <c r="CPV207" s="1316"/>
      <c r="CPW207" s="1315"/>
      <c r="CPX207" s="1315"/>
      <c r="CPY207" s="1318"/>
      <c r="CQA207" s="1320"/>
      <c r="CQB207" s="1320"/>
      <c r="CQC207" s="1318"/>
      <c r="CQD207" s="1318"/>
      <c r="CQJ207" s="1313"/>
      <c r="CQK207" s="1314"/>
      <c r="CQL207" s="1313"/>
      <c r="CQM207" s="1315"/>
      <c r="CQN207" s="1316"/>
      <c r="CQO207" s="1317"/>
      <c r="CQP207" s="1316"/>
      <c r="CQQ207" s="1316"/>
      <c r="CQR207" s="1315"/>
      <c r="CQS207" s="1315"/>
      <c r="CQT207" s="1318"/>
      <c r="CQV207" s="1320"/>
      <c r="CQW207" s="1320"/>
      <c r="CQX207" s="1318"/>
      <c r="CQY207" s="1318"/>
      <c r="CRE207" s="1313"/>
      <c r="CRF207" s="1314"/>
      <c r="CRG207" s="1313"/>
      <c r="CRH207" s="1315"/>
      <c r="CRI207" s="1316"/>
      <c r="CRJ207" s="1317"/>
      <c r="CRK207" s="1316"/>
      <c r="CRL207" s="1316"/>
      <c r="CRM207" s="1315"/>
      <c r="CRN207" s="1315"/>
      <c r="CRO207" s="1318"/>
      <c r="CRQ207" s="1320"/>
      <c r="CRR207" s="1320"/>
      <c r="CRS207" s="1318"/>
      <c r="CRT207" s="1318"/>
      <c r="CRZ207" s="1313"/>
      <c r="CSA207" s="1314"/>
      <c r="CSB207" s="1313"/>
      <c r="CSC207" s="1315"/>
      <c r="CSD207" s="1316"/>
      <c r="CSE207" s="1317"/>
      <c r="CSF207" s="1316"/>
      <c r="CSG207" s="1316"/>
      <c r="CSH207" s="1315"/>
      <c r="CSI207" s="1315"/>
      <c r="CSJ207" s="1318"/>
      <c r="CSL207" s="1320"/>
      <c r="CSM207" s="1320"/>
      <c r="CSN207" s="1318"/>
      <c r="CSO207" s="1318"/>
      <c r="CSU207" s="1313"/>
      <c r="CSV207" s="1314"/>
      <c r="CSW207" s="1313"/>
      <c r="CSX207" s="1315"/>
      <c r="CSY207" s="1316"/>
      <c r="CSZ207" s="1317"/>
      <c r="CTA207" s="1316"/>
      <c r="CTB207" s="1316"/>
      <c r="CTC207" s="1315"/>
      <c r="CTD207" s="1315"/>
      <c r="CTE207" s="1318"/>
      <c r="CTG207" s="1320"/>
      <c r="CTH207" s="1320"/>
      <c r="CTI207" s="1318"/>
      <c r="CTJ207" s="1318"/>
      <c r="CTP207" s="1313"/>
      <c r="CTQ207" s="1314"/>
      <c r="CTR207" s="1313"/>
      <c r="CTS207" s="1315"/>
      <c r="CTT207" s="1316"/>
      <c r="CTU207" s="1317"/>
      <c r="CTV207" s="1316"/>
      <c r="CTW207" s="1316"/>
      <c r="CTX207" s="1315"/>
      <c r="CTY207" s="1315"/>
      <c r="CTZ207" s="1318"/>
      <c r="CUB207" s="1320"/>
      <c r="CUC207" s="1320"/>
      <c r="CUD207" s="1318"/>
      <c r="CUE207" s="1318"/>
      <c r="CUK207" s="1313"/>
      <c r="CUL207" s="1314"/>
      <c r="CUM207" s="1313"/>
      <c r="CUN207" s="1315"/>
      <c r="CUO207" s="1316"/>
      <c r="CUP207" s="1317"/>
      <c r="CUQ207" s="1316"/>
      <c r="CUR207" s="1316"/>
      <c r="CUS207" s="1315"/>
      <c r="CUT207" s="1315"/>
      <c r="CUU207" s="1318"/>
      <c r="CUW207" s="1320"/>
      <c r="CUX207" s="1320"/>
      <c r="CUY207" s="1318"/>
      <c r="CUZ207" s="1318"/>
      <c r="CVF207" s="1313"/>
      <c r="CVG207" s="1314"/>
      <c r="CVH207" s="1313"/>
      <c r="CVI207" s="1315"/>
      <c r="CVJ207" s="1316"/>
      <c r="CVK207" s="1317"/>
      <c r="CVL207" s="1316"/>
      <c r="CVM207" s="1316"/>
      <c r="CVN207" s="1315"/>
      <c r="CVO207" s="1315"/>
      <c r="CVP207" s="1318"/>
      <c r="CVR207" s="1320"/>
      <c r="CVS207" s="1320"/>
      <c r="CVT207" s="1318"/>
      <c r="CVU207" s="1318"/>
      <c r="CWA207" s="1313"/>
      <c r="CWB207" s="1314"/>
      <c r="CWC207" s="1313"/>
      <c r="CWD207" s="1315"/>
      <c r="CWE207" s="1316"/>
      <c r="CWF207" s="1317"/>
      <c r="CWG207" s="1316"/>
      <c r="CWH207" s="1316"/>
      <c r="CWI207" s="1315"/>
      <c r="CWJ207" s="1315"/>
      <c r="CWK207" s="1318"/>
      <c r="CWM207" s="1320"/>
      <c r="CWN207" s="1320"/>
      <c r="CWO207" s="1318"/>
      <c r="CWP207" s="1318"/>
      <c r="CWV207" s="1313"/>
      <c r="CWW207" s="1314"/>
      <c r="CWX207" s="1313"/>
      <c r="CWY207" s="1315"/>
      <c r="CWZ207" s="1316"/>
      <c r="CXA207" s="1317"/>
      <c r="CXB207" s="1316"/>
      <c r="CXC207" s="1316"/>
      <c r="CXD207" s="1315"/>
      <c r="CXE207" s="1315"/>
      <c r="CXF207" s="1318"/>
      <c r="CXH207" s="1320"/>
      <c r="CXI207" s="1320"/>
      <c r="CXJ207" s="1318"/>
      <c r="CXK207" s="1318"/>
      <c r="CXQ207" s="1313"/>
      <c r="CXR207" s="1314"/>
      <c r="CXS207" s="1313"/>
      <c r="CXT207" s="1315"/>
      <c r="CXU207" s="1316"/>
      <c r="CXV207" s="1317"/>
      <c r="CXW207" s="1316"/>
      <c r="CXX207" s="1316"/>
      <c r="CXY207" s="1315"/>
      <c r="CXZ207" s="1315"/>
      <c r="CYA207" s="1318"/>
      <c r="CYC207" s="1320"/>
      <c r="CYD207" s="1320"/>
      <c r="CYE207" s="1318"/>
      <c r="CYF207" s="1318"/>
      <c r="CYL207" s="1313"/>
      <c r="CYM207" s="1314"/>
      <c r="CYN207" s="1313"/>
      <c r="CYO207" s="1315"/>
      <c r="CYP207" s="1316"/>
      <c r="CYQ207" s="1317"/>
      <c r="CYR207" s="1316"/>
      <c r="CYS207" s="1316"/>
      <c r="CYT207" s="1315"/>
      <c r="CYU207" s="1315"/>
      <c r="CYV207" s="1318"/>
      <c r="CYX207" s="1320"/>
      <c r="CYY207" s="1320"/>
      <c r="CYZ207" s="1318"/>
      <c r="CZA207" s="1318"/>
      <c r="CZG207" s="1313"/>
      <c r="CZH207" s="1314"/>
      <c r="CZI207" s="1313"/>
      <c r="CZJ207" s="1315"/>
      <c r="CZK207" s="1316"/>
      <c r="CZL207" s="1317"/>
      <c r="CZM207" s="1316"/>
      <c r="CZN207" s="1316"/>
      <c r="CZO207" s="1315"/>
      <c r="CZP207" s="1315"/>
      <c r="CZQ207" s="1318"/>
      <c r="CZS207" s="1320"/>
      <c r="CZT207" s="1320"/>
      <c r="CZU207" s="1318"/>
      <c r="CZV207" s="1318"/>
      <c r="DAB207" s="1313"/>
      <c r="DAC207" s="1314"/>
      <c r="DAD207" s="1313"/>
      <c r="DAE207" s="1315"/>
      <c r="DAF207" s="1316"/>
      <c r="DAG207" s="1317"/>
      <c r="DAH207" s="1316"/>
      <c r="DAI207" s="1316"/>
      <c r="DAJ207" s="1315"/>
      <c r="DAK207" s="1315"/>
      <c r="DAL207" s="1318"/>
      <c r="DAN207" s="1320"/>
      <c r="DAO207" s="1320"/>
      <c r="DAP207" s="1318"/>
      <c r="DAQ207" s="1318"/>
      <c r="DAW207" s="1313"/>
      <c r="DAX207" s="1314"/>
      <c r="DAY207" s="1313"/>
      <c r="DAZ207" s="1315"/>
      <c r="DBA207" s="1316"/>
      <c r="DBB207" s="1317"/>
      <c r="DBC207" s="1316"/>
      <c r="DBD207" s="1316"/>
      <c r="DBE207" s="1315"/>
      <c r="DBF207" s="1315"/>
      <c r="DBG207" s="1318"/>
      <c r="DBI207" s="1320"/>
      <c r="DBJ207" s="1320"/>
      <c r="DBK207" s="1318"/>
      <c r="DBL207" s="1318"/>
      <c r="DBR207" s="1313"/>
      <c r="DBS207" s="1314"/>
      <c r="DBT207" s="1313"/>
      <c r="DBU207" s="1315"/>
      <c r="DBV207" s="1316"/>
      <c r="DBW207" s="1317"/>
      <c r="DBX207" s="1316"/>
      <c r="DBY207" s="1316"/>
      <c r="DBZ207" s="1315"/>
      <c r="DCA207" s="1315"/>
      <c r="DCB207" s="1318"/>
      <c r="DCD207" s="1320"/>
      <c r="DCE207" s="1320"/>
      <c r="DCF207" s="1318"/>
      <c r="DCG207" s="1318"/>
      <c r="DCM207" s="1313"/>
      <c r="DCN207" s="1314"/>
      <c r="DCO207" s="1313"/>
      <c r="DCP207" s="1315"/>
      <c r="DCQ207" s="1316"/>
      <c r="DCR207" s="1317"/>
      <c r="DCS207" s="1316"/>
      <c r="DCT207" s="1316"/>
      <c r="DCU207" s="1315"/>
      <c r="DCV207" s="1315"/>
      <c r="DCW207" s="1318"/>
      <c r="DCY207" s="1320"/>
      <c r="DCZ207" s="1320"/>
      <c r="DDA207" s="1318"/>
      <c r="DDB207" s="1318"/>
      <c r="DDH207" s="1313"/>
      <c r="DDI207" s="1314"/>
      <c r="DDJ207" s="1313"/>
      <c r="DDK207" s="1315"/>
      <c r="DDL207" s="1316"/>
      <c r="DDM207" s="1317"/>
      <c r="DDN207" s="1316"/>
      <c r="DDO207" s="1316"/>
      <c r="DDP207" s="1315"/>
      <c r="DDQ207" s="1315"/>
      <c r="DDR207" s="1318"/>
      <c r="DDT207" s="1320"/>
      <c r="DDU207" s="1320"/>
      <c r="DDV207" s="1318"/>
      <c r="DDW207" s="1318"/>
      <c r="DEC207" s="1313"/>
      <c r="DED207" s="1314"/>
      <c r="DEE207" s="1313"/>
      <c r="DEF207" s="1315"/>
      <c r="DEG207" s="1316"/>
      <c r="DEH207" s="1317"/>
      <c r="DEI207" s="1316"/>
      <c r="DEJ207" s="1316"/>
      <c r="DEK207" s="1315"/>
      <c r="DEL207" s="1315"/>
      <c r="DEM207" s="1318"/>
      <c r="DEO207" s="1320"/>
      <c r="DEP207" s="1320"/>
      <c r="DEQ207" s="1318"/>
      <c r="DER207" s="1318"/>
      <c r="DEX207" s="1313"/>
      <c r="DEY207" s="1314"/>
      <c r="DEZ207" s="1313"/>
      <c r="DFA207" s="1315"/>
      <c r="DFB207" s="1316"/>
      <c r="DFC207" s="1317"/>
      <c r="DFD207" s="1316"/>
      <c r="DFE207" s="1316"/>
      <c r="DFF207" s="1315"/>
      <c r="DFG207" s="1315"/>
      <c r="DFH207" s="1318"/>
      <c r="DFJ207" s="1320"/>
      <c r="DFK207" s="1320"/>
      <c r="DFL207" s="1318"/>
      <c r="DFM207" s="1318"/>
      <c r="DFS207" s="1313"/>
      <c r="DFT207" s="1314"/>
      <c r="DFU207" s="1313"/>
      <c r="DFV207" s="1315"/>
      <c r="DFW207" s="1316"/>
      <c r="DFX207" s="1317"/>
      <c r="DFY207" s="1316"/>
      <c r="DFZ207" s="1316"/>
      <c r="DGA207" s="1315"/>
      <c r="DGB207" s="1315"/>
      <c r="DGC207" s="1318"/>
      <c r="DGE207" s="1320"/>
      <c r="DGF207" s="1320"/>
      <c r="DGG207" s="1318"/>
      <c r="DGH207" s="1318"/>
      <c r="DGN207" s="1313"/>
      <c r="DGO207" s="1314"/>
      <c r="DGP207" s="1313"/>
      <c r="DGQ207" s="1315"/>
      <c r="DGR207" s="1316"/>
      <c r="DGS207" s="1317"/>
      <c r="DGT207" s="1316"/>
      <c r="DGU207" s="1316"/>
      <c r="DGV207" s="1315"/>
      <c r="DGW207" s="1315"/>
      <c r="DGX207" s="1318"/>
      <c r="DGZ207" s="1320"/>
      <c r="DHA207" s="1320"/>
      <c r="DHB207" s="1318"/>
      <c r="DHC207" s="1318"/>
      <c r="DHI207" s="1313"/>
      <c r="DHJ207" s="1314"/>
      <c r="DHK207" s="1313"/>
      <c r="DHL207" s="1315"/>
      <c r="DHM207" s="1316"/>
      <c r="DHN207" s="1317"/>
      <c r="DHO207" s="1316"/>
      <c r="DHP207" s="1316"/>
      <c r="DHQ207" s="1315"/>
      <c r="DHR207" s="1315"/>
      <c r="DHS207" s="1318"/>
      <c r="DHU207" s="1320"/>
      <c r="DHV207" s="1320"/>
      <c r="DHW207" s="1318"/>
      <c r="DHX207" s="1318"/>
      <c r="DID207" s="1313"/>
      <c r="DIE207" s="1314"/>
      <c r="DIF207" s="1313"/>
      <c r="DIG207" s="1315"/>
      <c r="DIH207" s="1316"/>
      <c r="DII207" s="1317"/>
      <c r="DIJ207" s="1316"/>
      <c r="DIK207" s="1316"/>
      <c r="DIL207" s="1315"/>
      <c r="DIM207" s="1315"/>
      <c r="DIN207" s="1318"/>
      <c r="DIP207" s="1320"/>
      <c r="DIQ207" s="1320"/>
      <c r="DIR207" s="1318"/>
      <c r="DIS207" s="1318"/>
      <c r="DIY207" s="1313"/>
      <c r="DIZ207" s="1314"/>
      <c r="DJA207" s="1313"/>
      <c r="DJB207" s="1315"/>
      <c r="DJC207" s="1316"/>
      <c r="DJD207" s="1317"/>
      <c r="DJE207" s="1316"/>
      <c r="DJF207" s="1316"/>
      <c r="DJG207" s="1315"/>
      <c r="DJH207" s="1315"/>
      <c r="DJI207" s="1318"/>
      <c r="DJK207" s="1320"/>
      <c r="DJL207" s="1320"/>
      <c r="DJM207" s="1318"/>
      <c r="DJN207" s="1318"/>
      <c r="DJT207" s="1313"/>
      <c r="DJU207" s="1314"/>
      <c r="DJV207" s="1313"/>
      <c r="DJW207" s="1315"/>
      <c r="DJX207" s="1316"/>
      <c r="DJY207" s="1317"/>
      <c r="DJZ207" s="1316"/>
      <c r="DKA207" s="1316"/>
      <c r="DKB207" s="1315"/>
      <c r="DKC207" s="1315"/>
      <c r="DKD207" s="1318"/>
      <c r="DKF207" s="1320"/>
      <c r="DKG207" s="1320"/>
      <c r="DKH207" s="1318"/>
      <c r="DKI207" s="1318"/>
      <c r="DKO207" s="1313"/>
      <c r="DKP207" s="1314"/>
      <c r="DKQ207" s="1313"/>
      <c r="DKR207" s="1315"/>
      <c r="DKS207" s="1316"/>
      <c r="DKT207" s="1317"/>
      <c r="DKU207" s="1316"/>
      <c r="DKV207" s="1316"/>
      <c r="DKW207" s="1315"/>
      <c r="DKX207" s="1315"/>
      <c r="DKY207" s="1318"/>
      <c r="DLA207" s="1320"/>
      <c r="DLB207" s="1320"/>
      <c r="DLC207" s="1318"/>
      <c r="DLD207" s="1318"/>
      <c r="DLJ207" s="1313"/>
      <c r="DLK207" s="1314"/>
      <c r="DLL207" s="1313"/>
      <c r="DLM207" s="1315"/>
      <c r="DLN207" s="1316"/>
      <c r="DLO207" s="1317"/>
      <c r="DLP207" s="1316"/>
      <c r="DLQ207" s="1316"/>
      <c r="DLR207" s="1315"/>
      <c r="DLS207" s="1315"/>
      <c r="DLT207" s="1318"/>
      <c r="DLV207" s="1320"/>
      <c r="DLW207" s="1320"/>
      <c r="DLX207" s="1318"/>
      <c r="DLY207" s="1318"/>
      <c r="DME207" s="1313"/>
      <c r="DMF207" s="1314"/>
      <c r="DMG207" s="1313"/>
      <c r="DMH207" s="1315"/>
      <c r="DMI207" s="1316"/>
      <c r="DMJ207" s="1317"/>
      <c r="DMK207" s="1316"/>
      <c r="DML207" s="1316"/>
      <c r="DMM207" s="1315"/>
      <c r="DMN207" s="1315"/>
      <c r="DMO207" s="1318"/>
      <c r="DMQ207" s="1320"/>
      <c r="DMR207" s="1320"/>
      <c r="DMS207" s="1318"/>
      <c r="DMT207" s="1318"/>
      <c r="DMZ207" s="1313"/>
      <c r="DNA207" s="1314"/>
      <c r="DNB207" s="1313"/>
      <c r="DNC207" s="1315"/>
      <c r="DND207" s="1316"/>
      <c r="DNE207" s="1317"/>
      <c r="DNF207" s="1316"/>
      <c r="DNG207" s="1316"/>
      <c r="DNH207" s="1315"/>
      <c r="DNI207" s="1315"/>
      <c r="DNJ207" s="1318"/>
      <c r="DNL207" s="1320"/>
      <c r="DNM207" s="1320"/>
      <c r="DNN207" s="1318"/>
      <c r="DNO207" s="1318"/>
      <c r="DNU207" s="1313"/>
      <c r="DNV207" s="1314"/>
      <c r="DNW207" s="1313"/>
      <c r="DNX207" s="1315"/>
      <c r="DNY207" s="1316"/>
      <c r="DNZ207" s="1317"/>
      <c r="DOA207" s="1316"/>
      <c r="DOB207" s="1316"/>
      <c r="DOC207" s="1315"/>
      <c r="DOD207" s="1315"/>
      <c r="DOE207" s="1318"/>
      <c r="DOG207" s="1320"/>
      <c r="DOH207" s="1320"/>
      <c r="DOI207" s="1318"/>
      <c r="DOJ207" s="1318"/>
      <c r="DOP207" s="1313"/>
      <c r="DOQ207" s="1314"/>
      <c r="DOR207" s="1313"/>
      <c r="DOS207" s="1315"/>
      <c r="DOT207" s="1316"/>
      <c r="DOU207" s="1317"/>
      <c r="DOV207" s="1316"/>
      <c r="DOW207" s="1316"/>
      <c r="DOX207" s="1315"/>
      <c r="DOY207" s="1315"/>
      <c r="DOZ207" s="1318"/>
      <c r="DPB207" s="1320"/>
      <c r="DPC207" s="1320"/>
      <c r="DPD207" s="1318"/>
      <c r="DPE207" s="1318"/>
      <c r="DPK207" s="1313"/>
      <c r="DPL207" s="1314"/>
      <c r="DPM207" s="1313"/>
      <c r="DPN207" s="1315"/>
      <c r="DPO207" s="1316"/>
      <c r="DPP207" s="1317"/>
      <c r="DPQ207" s="1316"/>
      <c r="DPR207" s="1316"/>
      <c r="DPS207" s="1315"/>
      <c r="DPT207" s="1315"/>
      <c r="DPU207" s="1318"/>
      <c r="DPW207" s="1320"/>
      <c r="DPX207" s="1320"/>
      <c r="DPY207" s="1318"/>
      <c r="DPZ207" s="1318"/>
      <c r="DQF207" s="1313"/>
      <c r="DQG207" s="1314"/>
      <c r="DQH207" s="1313"/>
      <c r="DQI207" s="1315"/>
      <c r="DQJ207" s="1316"/>
      <c r="DQK207" s="1317"/>
      <c r="DQL207" s="1316"/>
      <c r="DQM207" s="1316"/>
      <c r="DQN207" s="1315"/>
      <c r="DQO207" s="1315"/>
      <c r="DQP207" s="1318"/>
      <c r="DQR207" s="1320"/>
      <c r="DQS207" s="1320"/>
      <c r="DQT207" s="1318"/>
      <c r="DQU207" s="1318"/>
      <c r="DRA207" s="1313"/>
      <c r="DRB207" s="1314"/>
      <c r="DRC207" s="1313"/>
      <c r="DRD207" s="1315"/>
      <c r="DRE207" s="1316"/>
      <c r="DRF207" s="1317"/>
      <c r="DRG207" s="1316"/>
      <c r="DRH207" s="1316"/>
      <c r="DRI207" s="1315"/>
      <c r="DRJ207" s="1315"/>
      <c r="DRK207" s="1318"/>
      <c r="DRM207" s="1320"/>
      <c r="DRN207" s="1320"/>
      <c r="DRO207" s="1318"/>
      <c r="DRP207" s="1318"/>
      <c r="DRV207" s="1313"/>
      <c r="DRW207" s="1314"/>
      <c r="DRX207" s="1313"/>
      <c r="DRY207" s="1315"/>
      <c r="DRZ207" s="1316"/>
      <c r="DSA207" s="1317"/>
      <c r="DSB207" s="1316"/>
      <c r="DSC207" s="1316"/>
      <c r="DSD207" s="1315"/>
      <c r="DSE207" s="1315"/>
      <c r="DSF207" s="1318"/>
      <c r="DSH207" s="1320"/>
      <c r="DSI207" s="1320"/>
      <c r="DSJ207" s="1318"/>
      <c r="DSK207" s="1318"/>
      <c r="DSQ207" s="1313"/>
      <c r="DSR207" s="1314"/>
      <c r="DSS207" s="1313"/>
      <c r="DST207" s="1315"/>
      <c r="DSU207" s="1316"/>
      <c r="DSV207" s="1317"/>
      <c r="DSW207" s="1316"/>
      <c r="DSX207" s="1316"/>
      <c r="DSY207" s="1315"/>
      <c r="DSZ207" s="1315"/>
      <c r="DTA207" s="1318"/>
      <c r="DTC207" s="1320"/>
      <c r="DTD207" s="1320"/>
      <c r="DTE207" s="1318"/>
      <c r="DTF207" s="1318"/>
      <c r="DTL207" s="1313"/>
      <c r="DTM207" s="1314"/>
      <c r="DTN207" s="1313"/>
      <c r="DTO207" s="1315"/>
      <c r="DTP207" s="1316"/>
      <c r="DTQ207" s="1317"/>
      <c r="DTR207" s="1316"/>
      <c r="DTS207" s="1316"/>
      <c r="DTT207" s="1315"/>
      <c r="DTU207" s="1315"/>
      <c r="DTV207" s="1318"/>
      <c r="DTX207" s="1320"/>
      <c r="DTY207" s="1320"/>
      <c r="DTZ207" s="1318"/>
      <c r="DUA207" s="1318"/>
      <c r="DUG207" s="1313"/>
      <c r="DUH207" s="1314"/>
      <c r="DUI207" s="1313"/>
      <c r="DUJ207" s="1315"/>
      <c r="DUK207" s="1316"/>
      <c r="DUL207" s="1317"/>
      <c r="DUM207" s="1316"/>
      <c r="DUN207" s="1316"/>
      <c r="DUO207" s="1315"/>
      <c r="DUP207" s="1315"/>
      <c r="DUQ207" s="1318"/>
      <c r="DUS207" s="1320"/>
      <c r="DUT207" s="1320"/>
      <c r="DUU207" s="1318"/>
      <c r="DUV207" s="1318"/>
      <c r="DVB207" s="1313"/>
      <c r="DVC207" s="1314"/>
      <c r="DVD207" s="1313"/>
      <c r="DVE207" s="1315"/>
      <c r="DVF207" s="1316"/>
      <c r="DVG207" s="1317"/>
      <c r="DVH207" s="1316"/>
      <c r="DVI207" s="1316"/>
      <c r="DVJ207" s="1315"/>
      <c r="DVK207" s="1315"/>
      <c r="DVL207" s="1318"/>
      <c r="DVN207" s="1320"/>
      <c r="DVO207" s="1320"/>
      <c r="DVP207" s="1318"/>
      <c r="DVQ207" s="1318"/>
      <c r="DVW207" s="1313"/>
      <c r="DVX207" s="1314"/>
      <c r="DVY207" s="1313"/>
      <c r="DVZ207" s="1315"/>
      <c r="DWA207" s="1316"/>
      <c r="DWB207" s="1317"/>
      <c r="DWC207" s="1316"/>
      <c r="DWD207" s="1316"/>
      <c r="DWE207" s="1315"/>
      <c r="DWF207" s="1315"/>
      <c r="DWG207" s="1318"/>
      <c r="DWI207" s="1320"/>
      <c r="DWJ207" s="1320"/>
      <c r="DWK207" s="1318"/>
      <c r="DWL207" s="1318"/>
      <c r="DWR207" s="1313"/>
      <c r="DWS207" s="1314"/>
      <c r="DWT207" s="1313"/>
      <c r="DWU207" s="1315"/>
      <c r="DWV207" s="1316"/>
      <c r="DWW207" s="1317"/>
      <c r="DWX207" s="1316"/>
      <c r="DWY207" s="1316"/>
      <c r="DWZ207" s="1315"/>
      <c r="DXA207" s="1315"/>
      <c r="DXB207" s="1318"/>
      <c r="DXD207" s="1320"/>
      <c r="DXE207" s="1320"/>
      <c r="DXF207" s="1318"/>
      <c r="DXG207" s="1318"/>
      <c r="DXM207" s="1313"/>
      <c r="DXN207" s="1314"/>
      <c r="DXO207" s="1313"/>
      <c r="DXP207" s="1315"/>
      <c r="DXQ207" s="1316"/>
      <c r="DXR207" s="1317"/>
      <c r="DXS207" s="1316"/>
      <c r="DXT207" s="1316"/>
      <c r="DXU207" s="1315"/>
      <c r="DXV207" s="1315"/>
      <c r="DXW207" s="1318"/>
      <c r="DXY207" s="1320"/>
      <c r="DXZ207" s="1320"/>
      <c r="DYA207" s="1318"/>
      <c r="DYB207" s="1318"/>
      <c r="DYH207" s="1313"/>
      <c r="DYI207" s="1314"/>
      <c r="DYJ207" s="1313"/>
      <c r="DYK207" s="1315"/>
      <c r="DYL207" s="1316"/>
      <c r="DYM207" s="1317"/>
      <c r="DYN207" s="1316"/>
      <c r="DYO207" s="1316"/>
      <c r="DYP207" s="1315"/>
      <c r="DYQ207" s="1315"/>
      <c r="DYR207" s="1318"/>
      <c r="DYT207" s="1320"/>
      <c r="DYU207" s="1320"/>
      <c r="DYV207" s="1318"/>
      <c r="DYW207" s="1318"/>
      <c r="DZC207" s="1313"/>
      <c r="DZD207" s="1314"/>
      <c r="DZE207" s="1313"/>
      <c r="DZF207" s="1315"/>
      <c r="DZG207" s="1316"/>
      <c r="DZH207" s="1317"/>
      <c r="DZI207" s="1316"/>
      <c r="DZJ207" s="1316"/>
      <c r="DZK207" s="1315"/>
      <c r="DZL207" s="1315"/>
      <c r="DZM207" s="1318"/>
      <c r="DZO207" s="1320"/>
      <c r="DZP207" s="1320"/>
      <c r="DZQ207" s="1318"/>
      <c r="DZR207" s="1318"/>
      <c r="DZX207" s="1313"/>
      <c r="DZY207" s="1314"/>
      <c r="DZZ207" s="1313"/>
      <c r="EAA207" s="1315"/>
      <c r="EAB207" s="1316"/>
      <c r="EAC207" s="1317"/>
      <c r="EAD207" s="1316"/>
      <c r="EAE207" s="1316"/>
      <c r="EAF207" s="1315"/>
      <c r="EAG207" s="1315"/>
      <c r="EAH207" s="1318"/>
      <c r="EAJ207" s="1320"/>
      <c r="EAK207" s="1320"/>
      <c r="EAL207" s="1318"/>
      <c r="EAM207" s="1318"/>
      <c r="EAS207" s="1313"/>
      <c r="EAT207" s="1314"/>
      <c r="EAU207" s="1313"/>
      <c r="EAV207" s="1315"/>
      <c r="EAW207" s="1316"/>
      <c r="EAX207" s="1317"/>
      <c r="EAY207" s="1316"/>
      <c r="EAZ207" s="1316"/>
      <c r="EBA207" s="1315"/>
      <c r="EBB207" s="1315"/>
      <c r="EBC207" s="1318"/>
      <c r="EBE207" s="1320"/>
      <c r="EBF207" s="1320"/>
      <c r="EBG207" s="1318"/>
      <c r="EBH207" s="1318"/>
      <c r="EBN207" s="1313"/>
      <c r="EBO207" s="1314"/>
      <c r="EBP207" s="1313"/>
      <c r="EBQ207" s="1315"/>
      <c r="EBR207" s="1316"/>
      <c r="EBS207" s="1317"/>
      <c r="EBT207" s="1316"/>
      <c r="EBU207" s="1316"/>
      <c r="EBV207" s="1315"/>
      <c r="EBW207" s="1315"/>
      <c r="EBX207" s="1318"/>
      <c r="EBZ207" s="1320"/>
      <c r="ECA207" s="1320"/>
      <c r="ECB207" s="1318"/>
      <c r="ECC207" s="1318"/>
      <c r="ECI207" s="1313"/>
      <c r="ECJ207" s="1314"/>
      <c r="ECK207" s="1313"/>
      <c r="ECL207" s="1315"/>
      <c r="ECM207" s="1316"/>
      <c r="ECN207" s="1317"/>
      <c r="ECO207" s="1316"/>
      <c r="ECP207" s="1316"/>
      <c r="ECQ207" s="1315"/>
      <c r="ECR207" s="1315"/>
      <c r="ECS207" s="1318"/>
      <c r="ECU207" s="1320"/>
      <c r="ECV207" s="1320"/>
      <c r="ECW207" s="1318"/>
      <c r="ECX207" s="1318"/>
      <c r="EDD207" s="1313"/>
      <c r="EDE207" s="1314"/>
      <c r="EDF207" s="1313"/>
      <c r="EDG207" s="1315"/>
      <c r="EDH207" s="1316"/>
      <c r="EDI207" s="1317"/>
      <c r="EDJ207" s="1316"/>
      <c r="EDK207" s="1316"/>
      <c r="EDL207" s="1315"/>
      <c r="EDM207" s="1315"/>
      <c r="EDN207" s="1318"/>
      <c r="EDP207" s="1320"/>
      <c r="EDQ207" s="1320"/>
      <c r="EDR207" s="1318"/>
      <c r="EDS207" s="1318"/>
      <c r="EDY207" s="1313"/>
      <c r="EDZ207" s="1314"/>
      <c r="EEA207" s="1313"/>
      <c r="EEB207" s="1315"/>
      <c r="EEC207" s="1316"/>
      <c r="EED207" s="1317"/>
      <c r="EEE207" s="1316"/>
      <c r="EEF207" s="1316"/>
      <c r="EEG207" s="1315"/>
      <c r="EEH207" s="1315"/>
      <c r="EEI207" s="1318"/>
      <c r="EEK207" s="1320"/>
      <c r="EEL207" s="1320"/>
      <c r="EEM207" s="1318"/>
      <c r="EEN207" s="1318"/>
      <c r="EET207" s="1313"/>
      <c r="EEU207" s="1314"/>
      <c r="EEV207" s="1313"/>
      <c r="EEW207" s="1315"/>
      <c r="EEX207" s="1316"/>
      <c r="EEY207" s="1317"/>
      <c r="EEZ207" s="1316"/>
      <c r="EFA207" s="1316"/>
      <c r="EFB207" s="1315"/>
      <c r="EFC207" s="1315"/>
      <c r="EFD207" s="1318"/>
      <c r="EFF207" s="1320"/>
      <c r="EFG207" s="1320"/>
      <c r="EFH207" s="1318"/>
      <c r="EFI207" s="1318"/>
      <c r="EFO207" s="1313"/>
      <c r="EFP207" s="1314"/>
      <c r="EFQ207" s="1313"/>
      <c r="EFR207" s="1315"/>
      <c r="EFS207" s="1316"/>
      <c r="EFT207" s="1317"/>
      <c r="EFU207" s="1316"/>
      <c r="EFV207" s="1316"/>
      <c r="EFW207" s="1315"/>
      <c r="EFX207" s="1315"/>
      <c r="EFY207" s="1318"/>
      <c r="EGA207" s="1320"/>
      <c r="EGB207" s="1320"/>
      <c r="EGC207" s="1318"/>
      <c r="EGD207" s="1318"/>
      <c r="EGJ207" s="1313"/>
      <c r="EGK207" s="1314"/>
      <c r="EGL207" s="1313"/>
      <c r="EGM207" s="1315"/>
      <c r="EGN207" s="1316"/>
      <c r="EGO207" s="1317"/>
      <c r="EGP207" s="1316"/>
      <c r="EGQ207" s="1316"/>
      <c r="EGR207" s="1315"/>
      <c r="EGS207" s="1315"/>
      <c r="EGT207" s="1318"/>
      <c r="EGV207" s="1320"/>
      <c r="EGW207" s="1320"/>
      <c r="EGX207" s="1318"/>
      <c r="EGY207" s="1318"/>
      <c r="EHE207" s="1313"/>
      <c r="EHF207" s="1314"/>
      <c r="EHG207" s="1313"/>
      <c r="EHH207" s="1315"/>
      <c r="EHI207" s="1316"/>
      <c r="EHJ207" s="1317"/>
      <c r="EHK207" s="1316"/>
      <c r="EHL207" s="1316"/>
      <c r="EHM207" s="1315"/>
      <c r="EHN207" s="1315"/>
      <c r="EHO207" s="1318"/>
      <c r="EHQ207" s="1320"/>
      <c r="EHR207" s="1320"/>
      <c r="EHS207" s="1318"/>
      <c r="EHT207" s="1318"/>
      <c r="EHZ207" s="1313"/>
      <c r="EIA207" s="1314"/>
      <c r="EIB207" s="1313"/>
      <c r="EIC207" s="1315"/>
      <c r="EID207" s="1316"/>
      <c r="EIE207" s="1317"/>
      <c r="EIF207" s="1316"/>
      <c r="EIG207" s="1316"/>
      <c r="EIH207" s="1315"/>
      <c r="EII207" s="1315"/>
      <c r="EIJ207" s="1318"/>
      <c r="EIL207" s="1320"/>
      <c r="EIM207" s="1320"/>
      <c r="EIN207" s="1318"/>
      <c r="EIO207" s="1318"/>
      <c r="EIU207" s="1313"/>
      <c r="EIV207" s="1314"/>
      <c r="EIW207" s="1313"/>
      <c r="EIX207" s="1315"/>
      <c r="EIY207" s="1316"/>
      <c r="EIZ207" s="1317"/>
      <c r="EJA207" s="1316"/>
      <c r="EJB207" s="1316"/>
      <c r="EJC207" s="1315"/>
      <c r="EJD207" s="1315"/>
      <c r="EJE207" s="1318"/>
      <c r="EJG207" s="1320"/>
      <c r="EJH207" s="1320"/>
      <c r="EJI207" s="1318"/>
      <c r="EJJ207" s="1318"/>
      <c r="EJP207" s="1313"/>
      <c r="EJQ207" s="1314"/>
      <c r="EJR207" s="1313"/>
      <c r="EJS207" s="1315"/>
      <c r="EJT207" s="1316"/>
      <c r="EJU207" s="1317"/>
      <c r="EJV207" s="1316"/>
      <c r="EJW207" s="1316"/>
      <c r="EJX207" s="1315"/>
      <c r="EJY207" s="1315"/>
      <c r="EJZ207" s="1318"/>
      <c r="EKB207" s="1320"/>
      <c r="EKC207" s="1320"/>
      <c r="EKD207" s="1318"/>
      <c r="EKE207" s="1318"/>
      <c r="EKK207" s="1313"/>
      <c r="EKL207" s="1314"/>
      <c r="EKM207" s="1313"/>
      <c r="EKN207" s="1315"/>
      <c r="EKO207" s="1316"/>
      <c r="EKP207" s="1317"/>
      <c r="EKQ207" s="1316"/>
      <c r="EKR207" s="1316"/>
      <c r="EKS207" s="1315"/>
      <c r="EKT207" s="1315"/>
      <c r="EKU207" s="1318"/>
      <c r="EKW207" s="1320"/>
      <c r="EKX207" s="1320"/>
      <c r="EKY207" s="1318"/>
      <c r="EKZ207" s="1318"/>
      <c r="ELF207" s="1313"/>
      <c r="ELG207" s="1314"/>
      <c r="ELH207" s="1313"/>
      <c r="ELI207" s="1315"/>
      <c r="ELJ207" s="1316"/>
      <c r="ELK207" s="1317"/>
      <c r="ELL207" s="1316"/>
      <c r="ELM207" s="1316"/>
      <c r="ELN207" s="1315"/>
      <c r="ELO207" s="1315"/>
      <c r="ELP207" s="1318"/>
      <c r="ELR207" s="1320"/>
      <c r="ELS207" s="1320"/>
      <c r="ELT207" s="1318"/>
      <c r="ELU207" s="1318"/>
      <c r="EMA207" s="1313"/>
      <c r="EMB207" s="1314"/>
      <c r="EMC207" s="1313"/>
      <c r="EMD207" s="1315"/>
      <c r="EME207" s="1316"/>
      <c r="EMF207" s="1317"/>
      <c r="EMG207" s="1316"/>
      <c r="EMH207" s="1316"/>
      <c r="EMI207" s="1315"/>
      <c r="EMJ207" s="1315"/>
      <c r="EMK207" s="1318"/>
      <c r="EMM207" s="1320"/>
      <c r="EMN207" s="1320"/>
      <c r="EMO207" s="1318"/>
      <c r="EMP207" s="1318"/>
      <c r="EMV207" s="1313"/>
      <c r="EMW207" s="1314"/>
      <c r="EMX207" s="1313"/>
      <c r="EMY207" s="1315"/>
      <c r="EMZ207" s="1316"/>
      <c r="ENA207" s="1317"/>
      <c r="ENB207" s="1316"/>
      <c r="ENC207" s="1316"/>
      <c r="END207" s="1315"/>
      <c r="ENE207" s="1315"/>
      <c r="ENF207" s="1318"/>
      <c r="ENH207" s="1320"/>
      <c r="ENI207" s="1320"/>
      <c r="ENJ207" s="1318"/>
      <c r="ENK207" s="1318"/>
      <c r="ENQ207" s="1313"/>
      <c r="ENR207" s="1314"/>
      <c r="ENS207" s="1313"/>
      <c r="ENT207" s="1315"/>
      <c r="ENU207" s="1316"/>
      <c r="ENV207" s="1317"/>
      <c r="ENW207" s="1316"/>
      <c r="ENX207" s="1316"/>
      <c r="ENY207" s="1315"/>
      <c r="ENZ207" s="1315"/>
      <c r="EOA207" s="1318"/>
      <c r="EOC207" s="1320"/>
      <c r="EOD207" s="1320"/>
      <c r="EOE207" s="1318"/>
      <c r="EOF207" s="1318"/>
      <c r="EOL207" s="1313"/>
      <c r="EOM207" s="1314"/>
      <c r="EON207" s="1313"/>
      <c r="EOO207" s="1315"/>
      <c r="EOP207" s="1316"/>
      <c r="EOQ207" s="1317"/>
      <c r="EOR207" s="1316"/>
      <c r="EOS207" s="1316"/>
      <c r="EOT207" s="1315"/>
      <c r="EOU207" s="1315"/>
      <c r="EOV207" s="1318"/>
      <c r="EOX207" s="1320"/>
      <c r="EOY207" s="1320"/>
      <c r="EOZ207" s="1318"/>
      <c r="EPA207" s="1318"/>
      <c r="EPG207" s="1313"/>
      <c r="EPH207" s="1314"/>
      <c r="EPI207" s="1313"/>
      <c r="EPJ207" s="1315"/>
      <c r="EPK207" s="1316"/>
      <c r="EPL207" s="1317"/>
      <c r="EPM207" s="1316"/>
      <c r="EPN207" s="1316"/>
      <c r="EPO207" s="1315"/>
      <c r="EPP207" s="1315"/>
      <c r="EPQ207" s="1318"/>
      <c r="EPS207" s="1320"/>
      <c r="EPT207" s="1320"/>
      <c r="EPU207" s="1318"/>
      <c r="EPV207" s="1318"/>
      <c r="EQB207" s="1313"/>
      <c r="EQC207" s="1314"/>
      <c r="EQD207" s="1313"/>
      <c r="EQE207" s="1315"/>
      <c r="EQF207" s="1316"/>
      <c r="EQG207" s="1317"/>
      <c r="EQH207" s="1316"/>
      <c r="EQI207" s="1316"/>
      <c r="EQJ207" s="1315"/>
      <c r="EQK207" s="1315"/>
      <c r="EQL207" s="1318"/>
      <c r="EQN207" s="1320"/>
      <c r="EQO207" s="1320"/>
      <c r="EQP207" s="1318"/>
      <c r="EQQ207" s="1318"/>
      <c r="EQW207" s="1313"/>
      <c r="EQX207" s="1314"/>
      <c r="EQY207" s="1313"/>
      <c r="EQZ207" s="1315"/>
      <c r="ERA207" s="1316"/>
      <c r="ERB207" s="1317"/>
      <c r="ERC207" s="1316"/>
      <c r="ERD207" s="1316"/>
      <c r="ERE207" s="1315"/>
      <c r="ERF207" s="1315"/>
      <c r="ERG207" s="1318"/>
      <c r="ERI207" s="1320"/>
      <c r="ERJ207" s="1320"/>
      <c r="ERK207" s="1318"/>
      <c r="ERL207" s="1318"/>
      <c r="ERR207" s="1313"/>
      <c r="ERS207" s="1314"/>
      <c r="ERT207" s="1313"/>
      <c r="ERU207" s="1315"/>
      <c r="ERV207" s="1316"/>
      <c r="ERW207" s="1317"/>
      <c r="ERX207" s="1316"/>
      <c r="ERY207" s="1316"/>
      <c r="ERZ207" s="1315"/>
      <c r="ESA207" s="1315"/>
      <c r="ESB207" s="1318"/>
      <c r="ESD207" s="1320"/>
      <c r="ESE207" s="1320"/>
      <c r="ESF207" s="1318"/>
      <c r="ESG207" s="1318"/>
      <c r="ESM207" s="1313"/>
      <c r="ESN207" s="1314"/>
      <c r="ESO207" s="1313"/>
      <c r="ESP207" s="1315"/>
      <c r="ESQ207" s="1316"/>
      <c r="ESR207" s="1317"/>
      <c r="ESS207" s="1316"/>
      <c r="EST207" s="1316"/>
      <c r="ESU207" s="1315"/>
      <c r="ESV207" s="1315"/>
      <c r="ESW207" s="1318"/>
      <c r="ESY207" s="1320"/>
      <c r="ESZ207" s="1320"/>
      <c r="ETA207" s="1318"/>
      <c r="ETB207" s="1318"/>
      <c r="ETH207" s="1313"/>
      <c r="ETI207" s="1314"/>
      <c r="ETJ207" s="1313"/>
      <c r="ETK207" s="1315"/>
      <c r="ETL207" s="1316"/>
      <c r="ETM207" s="1317"/>
      <c r="ETN207" s="1316"/>
      <c r="ETO207" s="1316"/>
      <c r="ETP207" s="1315"/>
      <c r="ETQ207" s="1315"/>
      <c r="ETR207" s="1318"/>
      <c r="ETT207" s="1320"/>
      <c r="ETU207" s="1320"/>
      <c r="ETV207" s="1318"/>
      <c r="ETW207" s="1318"/>
      <c r="EUC207" s="1313"/>
      <c r="EUD207" s="1314"/>
      <c r="EUE207" s="1313"/>
      <c r="EUF207" s="1315"/>
      <c r="EUG207" s="1316"/>
      <c r="EUH207" s="1317"/>
      <c r="EUI207" s="1316"/>
      <c r="EUJ207" s="1316"/>
      <c r="EUK207" s="1315"/>
      <c r="EUL207" s="1315"/>
      <c r="EUM207" s="1318"/>
      <c r="EUO207" s="1320"/>
      <c r="EUP207" s="1320"/>
      <c r="EUQ207" s="1318"/>
      <c r="EUR207" s="1318"/>
      <c r="EUX207" s="1313"/>
      <c r="EUY207" s="1314"/>
      <c r="EUZ207" s="1313"/>
      <c r="EVA207" s="1315"/>
      <c r="EVB207" s="1316"/>
      <c r="EVC207" s="1317"/>
      <c r="EVD207" s="1316"/>
      <c r="EVE207" s="1316"/>
      <c r="EVF207" s="1315"/>
      <c r="EVG207" s="1315"/>
      <c r="EVH207" s="1318"/>
      <c r="EVJ207" s="1320"/>
      <c r="EVK207" s="1320"/>
      <c r="EVL207" s="1318"/>
      <c r="EVM207" s="1318"/>
      <c r="EVS207" s="1313"/>
      <c r="EVT207" s="1314"/>
      <c r="EVU207" s="1313"/>
      <c r="EVV207" s="1315"/>
      <c r="EVW207" s="1316"/>
      <c r="EVX207" s="1317"/>
      <c r="EVY207" s="1316"/>
      <c r="EVZ207" s="1316"/>
      <c r="EWA207" s="1315"/>
      <c r="EWB207" s="1315"/>
      <c r="EWC207" s="1318"/>
      <c r="EWE207" s="1320"/>
      <c r="EWF207" s="1320"/>
      <c r="EWG207" s="1318"/>
      <c r="EWH207" s="1318"/>
      <c r="EWN207" s="1313"/>
      <c r="EWO207" s="1314"/>
      <c r="EWP207" s="1313"/>
      <c r="EWQ207" s="1315"/>
      <c r="EWR207" s="1316"/>
      <c r="EWS207" s="1317"/>
      <c r="EWT207" s="1316"/>
      <c r="EWU207" s="1316"/>
      <c r="EWV207" s="1315"/>
      <c r="EWW207" s="1315"/>
      <c r="EWX207" s="1318"/>
      <c r="EWZ207" s="1320"/>
      <c r="EXA207" s="1320"/>
      <c r="EXB207" s="1318"/>
      <c r="EXC207" s="1318"/>
      <c r="EXI207" s="1313"/>
      <c r="EXJ207" s="1314"/>
      <c r="EXK207" s="1313"/>
      <c r="EXL207" s="1315"/>
      <c r="EXM207" s="1316"/>
      <c r="EXN207" s="1317"/>
      <c r="EXO207" s="1316"/>
      <c r="EXP207" s="1316"/>
      <c r="EXQ207" s="1315"/>
      <c r="EXR207" s="1315"/>
      <c r="EXS207" s="1318"/>
      <c r="EXU207" s="1320"/>
      <c r="EXV207" s="1320"/>
      <c r="EXW207" s="1318"/>
      <c r="EXX207" s="1318"/>
      <c r="EYD207" s="1313"/>
      <c r="EYE207" s="1314"/>
      <c r="EYF207" s="1313"/>
      <c r="EYG207" s="1315"/>
      <c r="EYH207" s="1316"/>
      <c r="EYI207" s="1317"/>
      <c r="EYJ207" s="1316"/>
      <c r="EYK207" s="1316"/>
      <c r="EYL207" s="1315"/>
      <c r="EYM207" s="1315"/>
      <c r="EYN207" s="1318"/>
      <c r="EYP207" s="1320"/>
      <c r="EYQ207" s="1320"/>
      <c r="EYR207" s="1318"/>
      <c r="EYS207" s="1318"/>
      <c r="EYY207" s="1313"/>
      <c r="EYZ207" s="1314"/>
      <c r="EZA207" s="1313"/>
      <c r="EZB207" s="1315"/>
      <c r="EZC207" s="1316"/>
      <c r="EZD207" s="1317"/>
      <c r="EZE207" s="1316"/>
      <c r="EZF207" s="1316"/>
      <c r="EZG207" s="1315"/>
      <c r="EZH207" s="1315"/>
      <c r="EZI207" s="1318"/>
      <c r="EZK207" s="1320"/>
      <c r="EZL207" s="1320"/>
      <c r="EZM207" s="1318"/>
      <c r="EZN207" s="1318"/>
      <c r="EZT207" s="1313"/>
      <c r="EZU207" s="1314"/>
      <c r="EZV207" s="1313"/>
      <c r="EZW207" s="1315"/>
      <c r="EZX207" s="1316"/>
      <c r="EZY207" s="1317"/>
      <c r="EZZ207" s="1316"/>
      <c r="FAA207" s="1316"/>
      <c r="FAB207" s="1315"/>
      <c r="FAC207" s="1315"/>
      <c r="FAD207" s="1318"/>
      <c r="FAF207" s="1320"/>
      <c r="FAG207" s="1320"/>
      <c r="FAH207" s="1318"/>
      <c r="FAI207" s="1318"/>
      <c r="FAO207" s="1313"/>
      <c r="FAP207" s="1314"/>
      <c r="FAQ207" s="1313"/>
      <c r="FAR207" s="1315"/>
      <c r="FAS207" s="1316"/>
      <c r="FAT207" s="1317"/>
      <c r="FAU207" s="1316"/>
      <c r="FAV207" s="1316"/>
      <c r="FAW207" s="1315"/>
      <c r="FAX207" s="1315"/>
      <c r="FAY207" s="1318"/>
      <c r="FBA207" s="1320"/>
      <c r="FBB207" s="1320"/>
      <c r="FBC207" s="1318"/>
      <c r="FBD207" s="1318"/>
      <c r="FBJ207" s="1313"/>
      <c r="FBK207" s="1314"/>
      <c r="FBL207" s="1313"/>
      <c r="FBM207" s="1315"/>
      <c r="FBN207" s="1316"/>
      <c r="FBO207" s="1317"/>
      <c r="FBP207" s="1316"/>
      <c r="FBQ207" s="1316"/>
      <c r="FBR207" s="1315"/>
      <c r="FBS207" s="1315"/>
      <c r="FBT207" s="1318"/>
      <c r="FBV207" s="1320"/>
      <c r="FBW207" s="1320"/>
      <c r="FBX207" s="1318"/>
      <c r="FBY207" s="1318"/>
      <c r="FCE207" s="1313"/>
      <c r="FCF207" s="1314"/>
      <c r="FCG207" s="1313"/>
      <c r="FCH207" s="1315"/>
      <c r="FCI207" s="1316"/>
      <c r="FCJ207" s="1317"/>
      <c r="FCK207" s="1316"/>
      <c r="FCL207" s="1316"/>
      <c r="FCM207" s="1315"/>
      <c r="FCN207" s="1315"/>
      <c r="FCO207" s="1318"/>
      <c r="FCQ207" s="1320"/>
      <c r="FCR207" s="1320"/>
      <c r="FCS207" s="1318"/>
      <c r="FCT207" s="1318"/>
      <c r="FCZ207" s="1313"/>
      <c r="FDA207" s="1314"/>
      <c r="FDB207" s="1313"/>
      <c r="FDC207" s="1315"/>
      <c r="FDD207" s="1316"/>
      <c r="FDE207" s="1317"/>
      <c r="FDF207" s="1316"/>
      <c r="FDG207" s="1316"/>
      <c r="FDH207" s="1315"/>
      <c r="FDI207" s="1315"/>
      <c r="FDJ207" s="1318"/>
      <c r="FDL207" s="1320"/>
      <c r="FDM207" s="1320"/>
      <c r="FDN207" s="1318"/>
      <c r="FDO207" s="1318"/>
      <c r="FDU207" s="1313"/>
      <c r="FDV207" s="1314"/>
      <c r="FDW207" s="1313"/>
      <c r="FDX207" s="1315"/>
      <c r="FDY207" s="1316"/>
      <c r="FDZ207" s="1317"/>
      <c r="FEA207" s="1316"/>
      <c r="FEB207" s="1316"/>
      <c r="FEC207" s="1315"/>
      <c r="FED207" s="1315"/>
      <c r="FEE207" s="1318"/>
      <c r="FEG207" s="1320"/>
      <c r="FEH207" s="1320"/>
      <c r="FEI207" s="1318"/>
      <c r="FEJ207" s="1318"/>
      <c r="FEP207" s="1313"/>
      <c r="FEQ207" s="1314"/>
      <c r="FER207" s="1313"/>
      <c r="FES207" s="1315"/>
      <c r="FET207" s="1316"/>
      <c r="FEU207" s="1317"/>
      <c r="FEV207" s="1316"/>
      <c r="FEW207" s="1316"/>
      <c r="FEX207" s="1315"/>
      <c r="FEY207" s="1315"/>
      <c r="FEZ207" s="1318"/>
      <c r="FFB207" s="1320"/>
      <c r="FFC207" s="1320"/>
      <c r="FFD207" s="1318"/>
      <c r="FFE207" s="1318"/>
      <c r="FFK207" s="1313"/>
      <c r="FFL207" s="1314"/>
      <c r="FFM207" s="1313"/>
      <c r="FFN207" s="1315"/>
      <c r="FFO207" s="1316"/>
      <c r="FFP207" s="1317"/>
      <c r="FFQ207" s="1316"/>
      <c r="FFR207" s="1316"/>
      <c r="FFS207" s="1315"/>
      <c r="FFT207" s="1315"/>
      <c r="FFU207" s="1318"/>
      <c r="FFW207" s="1320"/>
      <c r="FFX207" s="1320"/>
      <c r="FFY207" s="1318"/>
      <c r="FFZ207" s="1318"/>
      <c r="FGF207" s="1313"/>
      <c r="FGG207" s="1314"/>
      <c r="FGH207" s="1313"/>
      <c r="FGI207" s="1315"/>
      <c r="FGJ207" s="1316"/>
      <c r="FGK207" s="1317"/>
      <c r="FGL207" s="1316"/>
      <c r="FGM207" s="1316"/>
      <c r="FGN207" s="1315"/>
      <c r="FGO207" s="1315"/>
      <c r="FGP207" s="1318"/>
      <c r="FGR207" s="1320"/>
      <c r="FGS207" s="1320"/>
      <c r="FGT207" s="1318"/>
      <c r="FGU207" s="1318"/>
      <c r="FHA207" s="1313"/>
      <c r="FHB207" s="1314"/>
      <c r="FHC207" s="1313"/>
      <c r="FHD207" s="1315"/>
      <c r="FHE207" s="1316"/>
      <c r="FHF207" s="1317"/>
      <c r="FHG207" s="1316"/>
      <c r="FHH207" s="1316"/>
      <c r="FHI207" s="1315"/>
      <c r="FHJ207" s="1315"/>
      <c r="FHK207" s="1318"/>
      <c r="FHM207" s="1320"/>
      <c r="FHN207" s="1320"/>
      <c r="FHO207" s="1318"/>
      <c r="FHP207" s="1318"/>
      <c r="FHV207" s="1313"/>
      <c r="FHW207" s="1314"/>
      <c r="FHX207" s="1313"/>
      <c r="FHY207" s="1315"/>
      <c r="FHZ207" s="1316"/>
      <c r="FIA207" s="1317"/>
      <c r="FIB207" s="1316"/>
      <c r="FIC207" s="1316"/>
      <c r="FID207" s="1315"/>
      <c r="FIE207" s="1315"/>
      <c r="FIF207" s="1318"/>
      <c r="FIH207" s="1320"/>
      <c r="FII207" s="1320"/>
      <c r="FIJ207" s="1318"/>
      <c r="FIK207" s="1318"/>
      <c r="FIQ207" s="1313"/>
      <c r="FIR207" s="1314"/>
      <c r="FIS207" s="1313"/>
      <c r="FIT207" s="1315"/>
      <c r="FIU207" s="1316"/>
      <c r="FIV207" s="1317"/>
      <c r="FIW207" s="1316"/>
      <c r="FIX207" s="1316"/>
      <c r="FIY207" s="1315"/>
      <c r="FIZ207" s="1315"/>
      <c r="FJA207" s="1318"/>
      <c r="FJC207" s="1320"/>
      <c r="FJD207" s="1320"/>
      <c r="FJE207" s="1318"/>
      <c r="FJF207" s="1318"/>
      <c r="FJL207" s="1313"/>
      <c r="FJM207" s="1314"/>
      <c r="FJN207" s="1313"/>
      <c r="FJO207" s="1315"/>
      <c r="FJP207" s="1316"/>
      <c r="FJQ207" s="1317"/>
      <c r="FJR207" s="1316"/>
      <c r="FJS207" s="1316"/>
      <c r="FJT207" s="1315"/>
      <c r="FJU207" s="1315"/>
      <c r="FJV207" s="1318"/>
      <c r="FJX207" s="1320"/>
      <c r="FJY207" s="1320"/>
      <c r="FJZ207" s="1318"/>
      <c r="FKA207" s="1318"/>
      <c r="FKG207" s="1313"/>
      <c r="FKH207" s="1314"/>
      <c r="FKI207" s="1313"/>
      <c r="FKJ207" s="1315"/>
      <c r="FKK207" s="1316"/>
      <c r="FKL207" s="1317"/>
      <c r="FKM207" s="1316"/>
      <c r="FKN207" s="1316"/>
      <c r="FKO207" s="1315"/>
      <c r="FKP207" s="1315"/>
      <c r="FKQ207" s="1318"/>
      <c r="FKS207" s="1320"/>
      <c r="FKT207" s="1320"/>
      <c r="FKU207" s="1318"/>
      <c r="FKV207" s="1318"/>
      <c r="FLB207" s="1313"/>
      <c r="FLC207" s="1314"/>
      <c r="FLD207" s="1313"/>
      <c r="FLE207" s="1315"/>
      <c r="FLF207" s="1316"/>
      <c r="FLG207" s="1317"/>
      <c r="FLH207" s="1316"/>
      <c r="FLI207" s="1316"/>
      <c r="FLJ207" s="1315"/>
      <c r="FLK207" s="1315"/>
      <c r="FLL207" s="1318"/>
      <c r="FLN207" s="1320"/>
      <c r="FLO207" s="1320"/>
      <c r="FLP207" s="1318"/>
      <c r="FLQ207" s="1318"/>
      <c r="FLW207" s="1313"/>
      <c r="FLX207" s="1314"/>
      <c r="FLY207" s="1313"/>
      <c r="FLZ207" s="1315"/>
      <c r="FMA207" s="1316"/>
      <c r="FMB207" s="1317"/>
      <c r="FMC207" s="1316"/>
      <c r="FMD207" s="1316"/>
      <c r="FME207" s="1315"/>
      <c r="FMF207" s="1315"/>
      <c r="FMG207" s="1318"/>
      <c r="FMI207" s="1320"/>
      <c r="FMJ207" s="1320"/>
      <c r="FMK207" s="1318"/>
      <c r="FML207" s="1318"/>
      <c r="FMR207" s="1313"/>
      <c r="FMS207" s="1314"/>
      <c r="FMT207" s="1313"/>
      <c r="FMU207" s="1315"/>
      <c r="FMV207" s="1316"/>
      <c r="FMW207" s="1317"/>
      <c r="FMX207" s="1316"/>
      <c r="FMY207" s="1316"/>
      <c r="FMZ207" s="1315"/>
      <c r="FNA207" s="1315"/>
      <c r="FNB207" s="1318"/>
      <c r="FND207" s="1320"/>
      <c r="FNE207" s="1320"/>
      <c r="FNF207" s="1318"/>
      <c r="FNG207" s="1318"/>
      <c r="FNM207" s="1313"/>
      <c r="FNN207" s="1314"/>
      <c r="FNO207" s="1313"/>
      <c r="FNP207" s="1315"/>
      <c r="FNQ207" s="1316"/>
      <c r="FNR207" s="1317"/>
      <c r="FNS207" s="1316"/>
      <c r="FNT207" s="1316"/>
      <c r="FNU207" s="1315"/>
      <c r="FNV207" s="1315"/>
      <c r="FNW207" s="1318"/>
      <c r="FNY207" s="1320"/>
      <c r="FNZ207" s="1320"/>
      <c r="FOA207" s="1318"/>
      <c r="FOB207" s="1318"/>
      <c r="FOH207" s="1313"/>
      <c r="FOI207" s="1314"/>
      <c r="FOJ207" s="1313"/>
      <c r="FOK207" s="1315"/>
      <c r="FOL207" s="1316"/>
      <c r="FOM207" s="1317"/>
      <c r="FON207" s="1316"/>
      <c r="FOO207" s="1316"/>
      <c r="FOP207" s="1315"/>
      <c r="FOQ207" s="1315"/>
      <c r="FOR207" s="1318"/>
      <c r="FOT207" s="1320"/>
      <c r="FOU207" s="1320"/>
      <c r="FOV207" s="1318"/>
      <c r="FOW207" s="1318"/>
      <c r="FPC207" s="1313"/>
      <c r="FPD207" s="1314"/>
      <c r="FPE207" s="1313"/>
      <c r="FPF207" s="1315"/>
      <c r="FPG207" s="1316"/>
      <c r="FPH207" s="1317"/>
      <c r="FPI207" s="1316"/>
      <c r="FPJ207" s="1316"/>
      <c r="FPK207" s="1315"/>
      <c r="FPL207" s="1315"/>
      <c r="FPM207" s="1318"/>
      <c r="FPO207" s="1320"/>
      <c r="FPP207" s="1320"/>
      <c r="FPQ207" s="1318"/>
      <c r="FPR207" s="1318"/>
      <c r="FPX207" s="1313"/>
      <c r="FPY207" s="1314"/>
      <c r="FPZ207" s="1313"/>
      <c r="FQA207" s="1315"/>
      <c r="FQB207" s="1316"/>
      <c r="FQC207" s="1317"/>
      <c r="FQD207" s="1316"/>
      <c r="FQE207" s="1316"/>
      <c r="FQF207" s="1315"/>
      <c r="FQG207" s="1315"/>
      <c r="FQH207" s="1318"/>
      <c r="FQJ207" s="1320"/>
      <c r="FQK207" s="1320"/>
      <c r="FQL207" s="1318"/>
      <c r="FQM207" s="1318"/>
      <c r="FQS207" s="1313"/>
      <c r="FQT207" s="1314"/>
      <c r="FQU207" s="1313"/>
      <c r="FQV207" s="1315"/>
      <c r="FQW207" s="1316"/>
      <c r="FQX207" s="1317"/>
      <c r="FQY207" s="1316"/>
      <c r="FQZ207" s="1316"/>
      <c r="FRA207" s="1315"/>
      <c r="FRB207" s="1315"/>
      <c r="FRC207" s="1318"/>
      <c r="FRE207" s="1320"/>
      <c r="FRF207" s="1320"/>
      <c r="FRG207" s="1318"/>
      <c r="FRH207" s="1318"/>
      <c r="FRN207" s="1313"/>
      <c r="FRO207" s="1314"/>
      <c r="FRP207" s="1313"/>
      <c r="FRQ207" s="1315"/>
      <c r="FRR207" s="1316"/>
      <c r="FRS207" s="1317"/>
      <c r="FRT207" s="1316"/>
      <c r="FRU207" s="1316"/>
      <c r="FRV207" s="1315"/>
      <c r="FRW207" s="1315"/>
      <c r="FRX207" s="1318"/>
      <c r="FRZ207" s="1320"/>
      <c r="FSA207" s="1320"/>
      <c r="FSB207" s="1318"/>
      <c r="FSC207" s="1318"/>
      <c r="FSI207" s="1313"/>
      <c r="FSJ207" s="1314"/>
      <c r="FSK207" s="1313"/>
      <c r="FSL207" s="1315"/>
      <c r="FSM207" s="1316"/>
      <c r="FSN207" s="1317"/>
      <c r="FSO207" s="1316"/>
      <c r="FSP207" s="1316"/>
      <c r="FSQ207" s="1315"/>
      <c r="FSR207" s="1315"/>
      <c r="FSS207" s="1318"/>
      <c r="FSU207" s="1320"/>
      <c r="FSV207" s="1320"/>
      <c r="FSW207" s="1318"/>
      <c r="FSX207" s="1318"/>
      <c r="FTD207" s="1313"/>
      <c r="FTE207" s="1314"/>
      <c r="FTF207" s="1313"/>
      <c r="FTG207" s="1315"/>
      <c r="FTH207" s="1316"/>
      <c r="FTI207" s="1317"/>
      <c r="FTJ207" s="1316"/>
      <c r="FTK207" s="1316"/>
      <c r="FTL207" s="1315"/>
      <c r="FTM207" s="1315"/>
      <c r="FTN207" s="1318"/>
      <c r="FTP207" s="1320"/>
      <c r="FTQ207" s="1320"/>
      <c r="FTR207" s="1318"/>
      <c r="FTS207" s="1318"/>
      <c r="FTY207" s="1313"/>
      <c r="FTZ207" s="1314"/>
      <c r="FUA207" s="1313"/>
      <c r="FUB207" s="1315"/>
      <c r="FUC207" s="1316"/>
      <c r="FUD207" s="1317"/>
      <c r="FUE207" s="1316"/>
      <c r="FUF207" s="1316"/>
      <c r="FUG207" s="1315"/>
      <c r="FUH207" s="1315"/>
      <c r="FUI207" s="1318"/>
      <c r="FUK207" s="1320"/>
      <c r="FUL207" s="1320"/>
      <c r="FUM207" s="1318"/>
      <c r="FUN207" s="1318"/>
      <c r="FUT207" s="1313"/>
      <c r="FUU207" s="1314"/>
      <c r="FUV207" s="1313"/>
      <c r="FUW207" s="1315"/>
      <c r="FUX207" s="1316"/>
      <c r="FUY207" s="1317"/>
      <c r="FUZ207" s="1316"/>
      <c r="FVA207" s="1316"/>
      <c r="FVB207" s="1315"/>
      <c r="FVC207" s="1315"/>
      <c r="FVD207" s="1318"/>
      <c r="FVF207" s="1320"/>
      <c r="FVG207" s="1320"/>
      <c r="FVH207" s="1318"/>
      <c r="FVI207" s="1318"/>
      <c r="FVO207" s="1313"/>
      <c r="FVP207" s="1314"/>
      <c r="FVQ207" s="1313"/>
      <c r="FVR207" s="1315"/>
      <c r="FVS207" s="1316"/>
      <c r="FVT207" s="1317"/>
      <c r="FVU207" s="1316"/>
      <c r="FVV207" s="1316"/>
      <c r="FVW207" s="1315"/>
      <c r="FVX207" s="1315"/>
      <c r="FVY207" s="1318"/>
      <c r="FWA207" s="1320"/>
      <c r="FWB207" s="1320"/>
      <c r="FWC207" s="1318"/>
      <c r="FWD207" s="1318"/>
      <c r="FWJ207" s="1313"/>
      <c r="FWK207" s="1314"/>
      <c r="FWL207" s="1313"/>
      <c r="FWM207" s="1315"/>
      <c r="FWN207" s="1316"/>
      <c r="FWO207" s="1317"/>
      <c r="FWP207" s="1316"/>
      <c r="FWQ207" s="1316"/>
      <c r="FWR207" s="1315"/>
      <c r="FWS207" s="1315"/>
      <c r="FWT207" s="1318"/>
      <c r="FWV207" s="1320"/>
      <c r="FWW207" s="1320"/>
      <c r="FWX207" s="1318"/>
      <c r="FWY207" s="1318"/>
      <c r="FXE207" s="1313"/>
      <c r="FXF207" s="1314"/>
      <c r="FXG207" s="1313"/>
      <c r="FXH207" s="1315"/>
      <c r="FXI207" s="1316"/>
      <c r="FXJ207" s="1317"/>
      <c r="FXK207" s="1316"/>
      <c r="FXL207" s="1316"/>
      <c r="FXM207" s="1315"/>
      <c r="FXN207" s="1315"/>
      <c r="FXO207" s="1318"/>
      <c r="FXQ207" s="1320"/>
      <c r="FXR207" s="1320"/>
      <c r="FXS207" s="1318"/>
      <c r="FXT207" s="1318"/>
      <c r="FXZ207" s="1313"/>
      <c r="FYA207" s="1314"/>
      <c r="FYB207" s="1313"/>
      <c r="FYC207" s="1315"/>
      <c r="FYD207" s="1316"/>
      <c r="FYE207" s="1317"/>
      <c r="FYF207" s="1316"/>
      <c r="FYG207" s="1316"/>
      <c r="FYH207" s="1315"/>
      <c r="FYI207" s="1315"/>
      <c r="FYJ207" s="1318"/>
      <c r="FYL207" s="1320"/>
      <c r="FYM207" s="1320"/>
      <c r="FYN207" s="1318"/>
      <c r="FYO207" s="1318"/>
      <c r="FYU207" s="1313"/>
      <c r="FYV207" s="1314"/>
      <c r="FYW207" s="1313"/>
      <c r="FYX207" s="1315"/>
      <c r="FYY207" s="1316"/>
      <c r="FYZ207" s="1317"/>
      <c r="FZA207" s="1316"/>
      <c r="FZB207" s="1316"/>
      <c r="FZC207" s="1315"/>
      <c r="FZD207" s="1315"/>
      <c r="FZE207" s="1318"/>
      <c r="FZG207" s="1320"/>
      <c r="FZH207" s="1320"/>
      <c r="FZI207" s="1318"/>
      <c r="FZJ207" s="1318"/>
      <c r="FZP207" s="1313"/>
      <c r="FZQ207" s="1314"/>
      <c r="FZR207" s="1313"/>
      <c r="FZS207" s="1315"/>
      <c r="FZT207" s="1316"/>
      <c r="FZU207" s="1317"/>
      <c r="FZV207" s="1316"/>
      <c r="FZW207" s="1316"/>
      <c r="FZX207" s="1315"/>
      <c r="FZY207" s="1315"/>
      <c r="FZZ207" s="1318"/>
      <c r="GAB207" s="1320"/>
      <c r="GAC207" s="1320"/>
      <c r="GAD207" s="1318"/>
      <c r="GAE207" s="1318"/>
      <c r="GAK207" s="1313"/>
      <c r="GAL207" s="1314"/>
      <c r="GAM207" s="1313"/>
      <c r="GAN207" s="1315"/>
      <c r="GAO207" s="1316"/>
      <c r="GAP207" s="1317"/>
      <c r="GAQ207" s="1316"/>
      <c r="GAR207" s="1316"/>
      <c r="GAS207" s="1315"/>
      <c r="GAT207" s="1315"/>
      <c r="GAU207" s="1318"/>
      <c r="GAW207" s="1320"/>
      <c r="GAX207" s="1320"/>
      <c r="GAY207" s="1318"/>
      <c r="GAZ207" s="1318"/>
      <c r="GBF207" s="1313"/>
      <c r="GBG207" s="1314"/>
      <c r="GBH207" s="1313"/>
      <c r="GBI207" s="1315"/>
      <c r="GBJ207" s="1316"/>
      <c r="GBK207" s="1317"/>
      <c r="GBL207" s="1316"/>
      <c r="GBM207" s="1316"/>
      <c r="GBN207" s="1315"/>
      <c r="GBO207" s="1315"/>
      <c r="GBP207" s="1318"/>
      <c r="GBR207" s="1320"/>
      <c r="GBS207" s="1320"/>
      <c r="GBT207" s="1318"/>
      <c r="GBU207" s="1318"/>
      <c r="GCA207" s="1313"/>
      <c r="GCB207" s="1314"/>
      <c r="GCC207" s="1313"/>
      <c r="GCD207" s="1315"/>
      <c r="GCE207" s="1316"/>
      <c r="GCF207" s="1317"/>
      <c r="GCG207" s="1316"/>
      <c r="GCH207" s="1316"/>
      <c r="GCI207" s="1315"/>
      <c r="GCJ207" s="1315"/>
      <c r="GCK207" s="1318"/>
      <c r="GCM207" s="1320"/>
      <c r="GCN207" s="1320"/>
      <c r="GCO207" s="1318"/>
      <c r="GCP207" s="1318"/>
      <c r="GCV207" s="1313"/>
      <c r="GCW207" s="1314"/>
      <c r="GCX207" s="1313"/>
      <c r="GCY207" s="1315"/>
      <c r="GCZ207" s="1316"/>
      <c r="GDA207" s="1317"/>
      <c r="GDB207" s="1316"/>
      <c r="GDC207" s="1316"/>
      <c r="GDD207" s="1315"/>
      <c r="GDE207" s="1315"/>
      <c r="GDF207" s="1318"/>
      <c r="GDH207" s="1320"/>
      <c r="GDI207" s="1320"/>
      <c r="GDJ207" s="1318"/>
      <c r="GDK207" s="1318"/>
      <c r="GDQ207" s="1313"/>
      <c r="GDR207" s="1314"/>
      <c r="GDS207" s="1313"/>
      <c r="GDT207" s="1315"/>
      <c r="GDU207" s="1316"/>
      <c r="GDV207" s="1317"/>
      <c r="GDW207" s="1316"/>
      <c r="GDX207" s="1316"/>
      <c r="GDY207" s="1315"/>
      <c r="GDZ207" s="1315"/>
      <c r="GEA207" s="1318"/>
      <c r="GEC207" s="1320"/>
      <c r="GED207" s="1320"/>
      <c r="GEE207" s="1318"/>
      <c r="GEF207" s="1318"/>
      <c r="GEL207" s="1313"/>
      <c r="GEM207" s="1314"/>
      <c r="GEN207" s="1313"/>
      <c r="GEO207" s="1315"/>
      <c r="GEP207" s="1316"/>
      <c r="GEQ207" s="1317"/>
      <c r="GER207" s="1316"/>
      <c r="GES207" s="1316"/>
      <c r="GET207" s="1315"/>
      <c r="GEU207" s="1315"/>
      <c r="GEV207" s="1318"/>
      <c r="GEX207" s="1320"/>
      <c r="GEY207" s="1320"/>
      <c r="GEZ207" s="1318"/>
      <c r="GFA207" s="1318"/>
      <c r="GFG207" s="1313"/>
      <c r="GFH207" s="1314"/>
      <c r="GFI207" s="1313"/>
      <c r="GFJ207" s="1315"/>
      <c r="GFK207" s="1316"/>
      <c r="GFL207" s="1317"/>
      <c r="GFM207" s="1316"/>
      <c r="GFN207" s="1316"/>
      <c r="GFO207" s="1315"/>
      <c r="GFP207" s="1315"/>
      <c r="GFQ207" s="1318"/>
      <c r="GFS207" s="1320"/>
      <c r="GFT207" s="1320"/>
      <c r="GFU207" s="1318"/>
      <c r="GFV207" s="1318"/>
      <c r="GGB207" s="1313"/>
      <c r="GGC207" s="1314"/>
      <c r="GGD207" s="1313"/>
      <c r="GGE207" s="1315"/>
      <c r="GGF207" s="1316"/>
      <c r="GGG207" s="1317"/>
      <c r="GGH207" s="1316"/>
      <c r="GGI207" s="1316"/>
      <c r="GGJ207" s="1315"/>
      <c r="GGK207" s="1315"/>
      <c r="GGL207" s="1318"/>
      <c r="GGN207" s="1320"/>
      <c r="GGO207" s="1320"/>
      <c r="GGP207" s="1318"/>
      <c r="GGQ207" s="1318"/>
      <c r="GGW207" s="1313"/>
      <c r="GGX207" s="1314"/>
      <c r="GGY207" s="1313"/>
      <c r="GGZ207" s="1315"/>
      <c r="GHA207" s="1316"/>
      <c r="GHB207" s="1317"/>
      <c r="GHC207" s="1316"/>
      <c r="GHD207" s="1316"/>
      <c r="GHE207" s="1315"/>
      <c r="GHF207" s="1315"/>
      <c r="GHG207" s="1318"/>
      <c r="GHI207" s="1320"/>
      <c r="GHJ207" s="1320"/>
      <c r="GHK207" s="1318"/>
      <c r="GHL207" s="1318"/>
      <c r="GHR207" s="1313"/>
      <c r="GHS207" s="1314"/>
      <c r="GHT207" s="1313"/>
      <c r="GHU207" s="1315"/>
      <c r="GHV207" s="1316"/>
      <c r="GHW207" s="1317"/>
      <c r="GHX207" s="1316"/>
      <c r="GHY207" s="1316"/>
      <c r="GHZ207" s="1315"/>
      <c r="GIA207" s="1315"/>
      <c r="GIB207" s="1318"/>
      <c r="GID207" s="1320"/>
      <c r="GIE207" s="1320"/>
      <c r="GIF207" s="1318"/>
      <c r="GIG207" s="1318"/>
      <c r="GIM207" s="1313"/>
      <c r="GIN207" s="1314"/>
      <c r="GIO207" s="1313"/>
      <c r="GIP207" s="1315"/>
      <c r="GIQ207" s="1316"/>
      <c r="GIR207" s="1317"/>
      <c r="GIS207" s="1316"/>
      <c r="GIT207" s="1316"/>
      <c r="GIU207" s="1315"/>
      <c r="GIV207" s="1315"/>
      <c r="GIW207" s="1318"/>
      <c r="GIY207" s="1320"/>
      <c r="GIZ207" s="1320"/>
      <c r="GJA207" s="1318"/>
      <c r="GJB207" s="1318"/>
      <c r="GJH207" s="1313"/>
      <c r="GJI207" s="1314"/>
      <c r="GJJ207" s="1313"/>
      <c r="GJK207" s="1315"/>
      <c r="GJL207" s="1316"/>
      <c r="GJM207" s="1317"/>
      <c r="GJN207" s="1316"/>
      <c r="GJO207" s="1316"/>
      <c r="GJP207" s="1315"/>
      <c r="GJQ207" s="1315"/>
      <c r="GJR207" s="1318"/>
      <c r="GJT207" s="1320"/>
      <c r="GJU207" s="1320"/>
      <c r="GJV207" s="1318"/>
      <c r="GJW207" s="1318"/>
      <c r="GKC207" s="1313"/>
      <c r="GKD207" s="1314"/>
      <c r="GKE207" s="1313"/>
      <c r="GKF207" s="1315"/>
      <c r="GKG207" s="1316"/>
      <c r="GKH207" s="1317"/>
      <c r="GKI207" s="1316"/>
      <c r="GKJ207" s="1316"/>
      <c r="GKK207" s="1315"/>
      <c r="GKL207" s="1315"/>
      <c r="GKM207" s="1318"/>
      <c r="GKO207" s="1320"/>
      <c r="GKP207" s="1320"/>
      <c r="GKQ207" s="1318"/>
      <c r="GKR207" s="1318"/>
      <c r="GKX207" s="1313"/>
      <c r="GKY207" s="1314"/>
      <c r="GKZ207" s="1313"/>
      <c r="GLA207" s="1315"/>
      <c r="GLB207" s="1316"/>
      <c r="GLC207" s="1317"/>
      <c r="GLD207" s="1316"/>
      <c r="GLE207" s="1316"/>
      <c r="GLF207" s="1315"/>
      <c r="GLG207" s="1315"/>
      <c r="GLH207" s="1318"/>
      <c r="GLJ207" s="1320"/>
      <c r="GLK207" s="1320"/>
      <c r="GLL207" s="1318"/>
      <c r="GLM207" s="1318"/>
      <c r="GLS207" s="1313"/>
      <c r="GLT207" s="1314"/>
      <c r="GLU207" s="1313"/>
      <c r="GLV207" s="1315"/>
      <c r="GLW207" s="1316"/>
      <c r="GLX207" s="1317"/>
      <c r="GLY207" s="1316"/>
      <c r="GLZ207" s="1316"/>
      <c r="GMA207" s="1315"/>
      <c r="GMB207" s="1315"/>
      <c r="GMC207" s="1318"/>
      <c r="GME207" s="1320"/>
      <c r="GMF207" s="1320"/>
      <c r="GMG207" s="1318"/>
      <c r="GMH207" s="1318"/>
      <c r="GMN207" s="1313"/>
      <c r="GMO207" s="1314"/>
      <c r="GMP207" s="1313"/>
      <c r="GMQ207" s="1315"/>
      <c r="GMR207" s="1316"/>
      <c r="GMS207" s="1317"/>
      <c r="GMT207" s="1316"/>
      <c r="GMU207" s="1316"/>
      <c r="GMV207" s="1315"/>
      <c r="GMW207" s="1315"/>
      <c r="GMX207" s="1318"/>
      <c r="GMZ207" s="1320"/>
      <c r="GNA207" s="1320"/>
      <c r="GNB207" s="1318"/>
      <c r="GNC207" s="1318"/>
      <c r="GNI207" s="1313"/>
      <c r="GNJ207" s="1314"/>
      <c r="GNK207" s="1313"/>
      <c r="GNL207" s="1315"/>
      <c r="GNM207" s="1316"/>
      <c r="GNN207" s="1317"/>
      <c r="GNO207" s="1316"/>
      <c r="GNP207" s="1316"/>
      <c r="GNQ207" s="1315"/>
      <c r="GNR207" s="1315"/>
      <c r="GNS207" s="1318"/>
      <c r="GNU207" s="1320"/>
      <c r="GNV207" s="1320"/>
      <c r="GNW207" s="1318"/>
      <c r="GNX207" s="1318"/>
      <c r="GOD207" s="1313"/>
      <c r="GOE207" s="1314"/>
      <c r="GOF207" s="1313"/>
      <c r="GOG207" s="1315"/>
      <c r="GOH207" s="1316"/>
      <c r="GOI207" s="1317"/>
      <c r="GOJ207" s="1316"/>
      <c r="GOK207" s="1316"/>
      <c r="GOL207" s="1315"/>
      <c r="GOM207" s="1315"/>
      <c r="GON207" s="1318"/>
      <c r="GOP207" s="1320"/>
      <c r="GOQ207" s="1320"/>
      <c r="GOR207" s="1318"/>
      <c r="GOS207" s="1318"/>
      <c r="GOY207" s="1313"/>
      <c r="GOZ207" s="1314"/>
      <c r="GPA207" s="1313"/>
      <c r="GPB207" s="1315"/>
      <c r="GPC207" s="1316"/>
      <c r="GPD207" s="1317"/>
      <c r="GPE207" s="1316"/>
      <c r="GPF207" s="1316"/>
      <c r="GPG207" s="1315"/>
      <c r="GPH207" s="1315"/>
      <c r="GPI207" s="1318"/>
      <c r="GPK207" s="1320"/>
      <c r="GPL207" s="1320"/>
      <c r="GPM207" s="1318"/>
      <c r="GPN207" s="1318"/>
      <c r="GPT207" s="1313"/>
      <c r="GPU207" s="1314"/>
      <c r="GPV207" s="1313"/>
      <c r="GPW207" s="1315"/>
      <c r="GPX207" s="1316"/>
      <c r="GPY207" s="1317"/>
      <c r="GPZ207" s="1316"/>
      <c r="GQA207" s="1316"/>
      <c r="GQB207" s="1315"/>
      <c r="GQC207" s="1315"/>
      <c r="GQD207" s="1318"/>
      <c r="GQF207" s="1320"/>
      <c r="GQG207" s="1320"/>
      <c r="GQH207" s="1318"/>
      <c r="GQI207" s="1318"/>
      <c r="GQO207" s="1313"/>
      <c r="GQP207" s="1314"/>
      <c r="GQQ207" s="1313"/>
      <c r="GQR207" s="1315"/>
      <c r="GQS207" s="1316"/>
      <c r="GQT207" s="1317"/>
      <c r="GQU207" s="1316"/>
      <c r="GQV207" s="1316"/>
      <c r="GQW207" s="1315"/>
      <c r="GQX207" s="1315"/>
      <c r="GQY207" s="1318"/>
      <c r="GRA207" s="1320"/>
      <c r="GRB207" s="1320"/>
      <c r="GRC207" s="1318"/>
      <c r="GRD207" s="1318"/>
      <c r="GRJ207" s="1313"/>
      <c r="GRK207" s="1314"/>
      <c r="GRL207" s="1313"/>
      <c r="GRM207" s="1315"/>
      <c r="GRN207" s="1316"/>
      <c r="GRO207" s="1317"/>
      <c r="GRP207" s="1316"/>
      <c r="GRQ207" s="1316"/>
      <c r="GRR207" s="1315"/>
      <c r="GRS207" s="1315"/>
      <c r="GRT207" s="1318"/>
      <c r="GRV207" s="1320"/>
      <c r="GRW207" s="1320"/>
      <c r="GRX207" s="1318"/>
      <c r="GRY207" s="1318"/>
      <c r="GSE207" s="1313"/>
      <c r="GSF207" s="1314"/>
      <c r="GSG207" s="1313"/>
      <c r="GSH207" s="1315"/>
      <c r="GSI207" s="1316"/>
      <c r="GSJ207" s="1317"/>
      <c r="GSK207" s="1316"/>
      <c r="GSL207" s="1316"/>
      <c r="GSM207" s="1315"/>
      <c r="GSN207" s="1315"/>
      <c r="GSO207" s="1318"/>
      <c r="GSQ207" s="1320"/>
      <c r="GSR207" s="1320"/>
      <c r="GSS207" s="1318"/>
      <c r="GST207" s="1318"/>
      <c r="GSZ207" s="1313"/>
      <c r="GTA207" s="1314"/>
      <c r="GTB207" s="1313"/>
      <c r="GTC207" s="1315"/>
      <c r="GTD207" s="1316"/>
      <c r="GTE207" s="1317"/>
      <c r="GTF207" s="1316"/>
      <c r="GTG207" s="1316"/>
      <c r="GTH207" s="1315"/>
      <c r="GTI207" s="1315"/>
      <c r="GTJ207" s="1318"/>
      <c r="GTL207" s="1320"/>
      <c r="GTM207" s="1320"/>
      <c r="GTN207" s="1318"/>
      <c r="GTO207" s="1318"/>
      <c r="GTU207" s="1313"/>
      <c r="GTV207" s="1314"/>
      <c r="GTW207" s="1313"/>
      <c r="GTX207" s="1315"/>
      <c r="GTY207" s="1316"/>
      <c r="GTZ207" s="1317"/>
      <c r="GUA207" s="1316"/>
      <c r="GUB207" s="1316"/>
      <c r="GUC207" s="1315"/>
      <c r="GUD207" s="1315"/>
      <c r="GUE207" s="1318"/>
      <c r="GUG207" s="1320"/>
      <c r="GUH207" s="1320"/>
      <c r="GUI207" s="1318"/>
      <c r="GUJ207" s="1318"/>
      <c r="GUP207" s="1313"/>
      <c r="GUQ207" s="1314"/>
      <c r="GUR207" s="1313"/>
      <c r="GUS207" s="1315"/>
      <c r="GUT207" s="1316"/>
      <c r="GUU207" s="1317"/>
      <c r="GUV207" s="1316"/>
      <c r="GUW207" s="1316"/>
      <c r="GUX207" s="1315"/>
      <c r="GUY207" s="1315"/>
      <c r="GUZ207" s="1318"/>
      <c r="GVB207" s="1320"/>
      <c r="GVC207" s="1320"/>
      <c r="GVD207" s="1318"/>
      <c r="GVE207" s="1318"/>
      <c r="GVK207" s="1313"/>
      <c r="GVL207" s="1314"/>
      <c r="GVM207" s="1313"/>
      <c r="GVN207" s="1315"/>
      <c r="GVO207" s="1316"/>
      <c r="GVP207" s="1317"/>
      <c r="GVQ207" s="1316"/>
      <c r="GVR207" s="1316"/>
      <c r="GVS207" s="1315"/>
      <c r="GVT207" s="1315"/>
      <c r="GVU207" s="1318"/>
      <c r="GVW207" s="1320"/>
      <c r="GVX207" s="1320"/>
      <c r="GVY207" s="1318"/>
      <c r="GVZ207" s="1318"/>
      <c r="GWF207" s="1313"/>
      <c r="GWG207" s="1314"/>
      <c r="GWH207" s="1313"/>
      <c r="GWI207" s="1315"/>
      <c r="GWJ207" s="1316"/>
      <c r="GWK207" s="1317"/>
      <c r="GWL207" s="1316"/>
      <c r="GWM207" s="1316"/>
      <c r="GWN207" s="1315"/>
      <c r="GWO207" s="1315"/>
      <c r="GWP207" s="1318"/>
      <c r="GWR207" s="1320"/>
      <c r="GWS207" s="1320"/>
      <c r="GWT207" s="1318"/>
      <c r="GWU207" s="1318"/>
      <c r="GXA207" s="1313"/>
      <c r="GXB207" s="1314"/>
      <c r="GXC207" s="1313"/>
      <c r="GXD207" s="1315"/>
      <c r="GXE207" s="1316"/>
      <c r="GXF207" s="1317"/>
      <c r="GXG207" s="1316"/>
      <c r="GXH207" s="1316"/>
      <c r="GXI207" s="1315"/>
      <c r="GXJ207" s="1315"/>
      <c r="GXK207" s="1318"/>
      <c r="GXM207" s="1320"/>
      <c r="GXN207" s="1320"/>
      <c r="GXO207" s="1318"/>
      <c r="GXP207" s="1318"/>
      <c r="GXV207" s="1313"/>
      <c r="GXW207" s="1314"/>
      <c r="GXX207" s="1313"/>
      <c r="GXY207" s="1315"/>
      <c r="GXZ207" s="1316"/>
      <c r="GYA207" s="1317"/>
      <c r="GYB207" s="1316"/>
      <c r="GYC207" s="1316"/>
      <c r="GYD207" s="1315"/>
      <c r="GYE207" s="1315"/>
      <c r="GYF207" s="1318"/>
      <c r="GYH207" s="1320"/>
      <c r="GYI207" s="1320"/>
      <c r="GYJ207" s="1318"/>
      <c r="GYK207" s="1318"/>
      <c r="GYQ207" s="1313"/>
      <c r="GYR207" s="1314"/>
      <c r="GYS207" s="1313"/>
      <c r="GYT207" s="1315"/>
      <c r="GYU207" s="1316"/>
      <c r="GYV207" s="1317"/>
      <c r="GYW207" s="1316"/>
      <c r="GYX207" s="1316"/>
      <c r="GYY207" s="1315"/>
      <c r="GYZ207" s="1315"/>
      <c r="GZA207" s="1318"/>
      <c r="GZC207" s="1320"/>
      <c r="GZD207" s="1320"/>
      <c r="GZE207" s="1318"/>
      <c r="GZF207" s="1318"/>
      <c r="GZL207" s="1313"/>
      <c r="GZM207" s="1314"/>
      <c r="GZN207" s="1313"/>
      <c r="GZO207" s="1315"/>
      <c r="GZP207" s="1316"/>
      <c r="GZQ207" s="1317"/>
      <c r="GZR207" s="1316"/>
      <c r="GZS207" s="1316"/>
      <c r="GZT207" s="1315"/>
      <c r="GZU207" s="1315"/>
      <c r="GZV207" s="1318"/>
      <c r="GZX207" s="1320"/>
      <c r="GZY207" s="1320"/>
      <c r="GZZ207" s="1318"/>
      <c r="HAA207" s="1318"/>
      <c r="HAG207" s="1313"/>
      <c r="HAH207" s="1314"/>
      <c r="HAI207" s="1313"/>
      <c r="HAJ207" s="1315"/>
      <c r="HAK207" s="1316"/>
      <c r="HAL207" s="1317"/>
      <c r="HAM207" s="1316"/>
      <c r="HAN207" s="1316"/>
      <c r="HAO207" s="1315"/>
      <c r="HAP207" s="1315"/>
      <c r="HAQ207" s="1318"/>
      <c r="HAS207" s="1320"/>
      <c r="HAT207" s="1320"/>
      <c r="HAU207" s="1318"/>
      <c r="HAV207" s="1318"/>
      <c r="HBB207" s="1313"/>
      <c r="HBC207" s="1314"/>
      <c r="HBD207" s="1313"/>
      <c r="HBE207" s="1315"/>
      <c r="HBF207" s="1316"/>
      <c r="HBG207" s="1317"/>
      <c r="HBH207" s="1316"/>
      <c r="HBI207" s="1316"/>
      <c r="HBJ207" s="1315"/>
      <c r="HBK207" s="1315"/>
      <c r="HBL207" s="1318"/>
      <c r="HBN207" s="1320"/>
      <c r="HBO207" s="1320"/>
      <c r="HBP207" s="1318"/>
      <c r="HBQ207" s="1318"/>
      <c r="HBW207" s="1313"/>
      <c r="HBX207" s="1314"/>
      <c r="HBY207" s="1313"/>
      <c r="HBZ207" s="1315"/>
      <c r="HCA207" s="1316"/>
      <c r="HCB207" s="1317"/>
      <c r="HCC207" s="1316"/>
      <c r="HCD207" s="1316"/>
      <c r="HCE207" s="1315"/>
      <c r="HCF207" s="1315"/>
      <c r="HCG207" s="1318"/>
      <c r="HCI207" s="1320"/>
      <c r="HCJ207" s="1320"/>
      <c r="HCK207" s="1318"/>
      <c r="HCL207" s="1318"/>
      <c r="HCR207" s="1313"/>
      <c r="HCS207" s="1314"/>
      <c r="HCT207" s="1313"/>
      <c r="HCU207" s="1315"/>
      <c r="HCV207" s="1316"/>
      <c r="HCW207" s="1317"/>
      <c r="HCX207" s="1316"/>
      <c r="HCY207" s="1316"/>
      <c r="HCZ207" s="1315"/>
      <c r="HDA207" s="1315"/>
      <c r="HDB207" s="1318"/>
      <c r="HDD207" s="1320"/>
      <c r="HDE207" s="1320"/>
      <c r="HDF207" s="1318"/>
      <c r="HDG207" s="1318"/>
      <c r="HDM207" s="1313"/>
      <c r="HDN207" s="1314"/>
      <c r="HDO207" s="1313"/>
      <c r="HDP207" s="1315"/>
      <c r="HDQ207" s="1316"/>
      <c r="HDR207" s="1317"/>
      <c r="HDS207" s="1316"/>
      <c r="HDT207" s="1316"/>
      <c r="HDU207" s="1315"/>
      <c r="HDV207" s="1315"/>
      <c r="HDW207" s="1318"/>
      <c r="HDY207" s="1320"/>
      <c r="HDZ207" s="1320"/>
      <c r="HEA207" s="1318"/>
      <c r="HEB207" s="1318"/>
      <c r="HEH207" s="1313"/>
      <c r="HEI207" s="1314"/>
      <c r="HEJ207" s="1313"/>
      <c r="HEK207" s="1315"/>
      <c r="HEL207" s="1316"/>
      <c r="HEM207" s="1317"/>
      <c r="HEN207" s="1316"/>
      <c r="HEO207" s="1316"/>
      <c r="HEP207" s="1315"/>
      <c r="HEQ207" s="1315"/>
      <c r="HER207" s="1318"/>
      <c r="HET207" s="1320"/>
      <c r="HEU207" s="1320"/>
      <c r="HEV207" s="1318"/>
      <c r="HEW207" s="1318"/>
      <c r="HFC207" s="1313"/>
      <c r="HFD207" s="1314"/>
      <c r="HFE207" s="1313"/>
      <c r="HFF207" s="1315"/>
      <c r="HFG207" s="1316"/>
      <c r="HFH207" s="1317"/>
      <c r="HFI207" s="1316"/>
      <c r="HFJ207" s="1316"/>
      <c r="HFK207" s="1315"/>
      <c r="HFL207" s="1315"/>
      <c r="HFM207" s="1318"/>
      <c r="HFO207" s="1320"/>
      <c r="HFP207" s="1320"/>
      <c r="HFQ207" s="1318"/>
      <c r="HFR207" s="1318"/>
      <c r="HFX207" s="1313"/>
      <c r="HFY207" s="1314"/>
      <c r="HFZ207" s="1313"/>
      <c r="HGA207" s="1315"/>
      <c r="HGB207" s="1316"/>
      <c r="HGC207" s="1317"/>
      <c r="HGD207" s="1316"/>
      <c r="HGE207" s="1316"/>
      <c r="HGF207" s="1315"/>
      <c r="HGG207" s="1315"/>
      <c r="HGH207" s="1318"/>
      <c r="HGJ207" s="1320"/>
      <c r="HGK207" s="1320"/>
      <c r="HGL207" s="1318"/>
      <c r="HGM207" s="1318"/>
      <c r="HGS207" s="1313"/>
      <c r="HGT207" s="1314"/>
      <c r="HGU207" s="1313"/>
      <c r="HGV207" s="1315"/>
      <c r="HGW207" s="1316"/>
      <c r="HGX207" s="1317"/>
      <c r="HGY207" s="1316"/>
      <c r="HGZ207" s="1316"/>
      <c r="HHA207" s="1315"/>
      <c r="HHB207" s="1315"/>
      <c r="HHC207" s="1318"/>
      <c r="HHE207" s="1320"/>
      <c r="HHF207" s="1320"/>
      <c r="HHG207" s="1318"/>
      <c r="HHH207" s="1318"/>
      <c r="HHN207" s="1313"/>
      <c r="HHO207" s="1314"/>
      <c r="HHP207" s="1313"/>
      <c r="HHQ207" s="1315"/>
      <c r="HHR207" s="1316"/>
      <c r="HHS207" s="1317"/>
      <c r="HHT207" s="1316"/>
      <c r="HHU207" s="1316"/>
      <c r="HHV207" s="1315"/>
      <c r="HHW207" s="1315"/>
      <c r="HHX207" s="1318"/>
      <c r="HHZ207" s="1320"/>
      <c r="HIA207" s="1320"/>
      <c r="HIB207" s="1318"/>
      <c r="HIC207" s="1318"/>
      <c r="HII207" s="1313"/>
      <c r="HIJ207" s="1314"/>
      <c r="HIK207" s="1313"/>
      <c r="HIL207" s="1315"/>
      <c r="HIM207" s="1316"/>
      <c r="HIN207" s="1317"/>
      <c r="HIO207" s="1316"/>
      <c r="HIP207" s="1316"/>
      <c r="HIQ207" s="1315"/>
      <c r="HIR207" s="1315"/>
      <c r="HIS207" s="1318"/>
      <c r="HIU207" s="1320"/>
      <c r="HIV207" s="1320"/>
      <c r="HIW207" s="1318"/>
      <c r="HIX207" s="1318"/>
      <c r="HJD207" s="1313"/>
      <c r="HJE207" s="1314"/>
      <c r="HJF207" s="1313"/>
      <c r="HJG207" s="1315"/>
      <c r="HJH207" s="1316"/>
      <c r="HJI207" s="1317"/>
      <c r="HJJ207" s="1316"/>
      <c r="HJK207" s="1316"/>
      <c r="HJL207" s="1315"/>
      <c r="HJM207" s="1315"/>
      <c r="HJN207" s="1318"/>
      <c r="HJP207" s="1320"/>
      <c r="HJQ207" s="1320"/>
      <c r="HJR207" s="1318"/>
      <c r="HJS207" s="1318"/>
      <c r="HJY207" s="1313"/>
      <c r="HJZ207" s="1314"/>
      <c r="HKA207" s="1313"/>
      <c r="HKB207" s="1315"/>
      <c r="HKC207" s="1316"/>
      <c r="HKD207" s="1317"/>
      <c r="HKE207" s="1316"/>
      <c r="HKF207" s="1316"/>
      <c r="HKG207" s="1315"/>
      <c r="HKH207" s="1315"/>
      <c r="HKI207" s="1318"/>
      <c r="HKK207" s="1320"/>
      <c r="HKL207" s="1320"/>
      <c r="HKM207" s="1318"/>
      <c r="HKN207" s="1318"/>
      <c r="HKT207" s="1313"/>
      <c r="HKU207" s="1314"/>
      <c r="HKV207" s="1313"/>
      <c r="HKW207" s="1315"/>
      <c r="HKX207" s="1316"/>
      <c r="HKY207" s="1317"/>
      <c r="HKZ207" s="1316"/>
      <c r="HLA207" s="1316"/>
      <c r="HLB207" s="1315"/>
      <c r="HLC207" s="1315"/>
      <c r="HLD207" s="1318"/>
      <c r="HLF207" s="1320"/>
      <c r="HLG207" s="1320"/>
      <c r="HLH207" s="1318"/>
      <c r="HLI207" s="1318"/>
      <c r="HLO207" s="1313"/>
      <c r="HLP207" s="1314"/>
      <c r="HLQ207" s="1313"/>
      <c r="HLR207" s="1315"/>
      <c r="HLS207" s="1316"/>
      <c r="HLT207" s="1317"/>
      <c r="HLU207" s="1316"/>
      <c r="HLV207" s="1316"/>
      <c r="HLW207" s="1315"/>
      <c r="HLX207" s="1315"/>
      <c r="HLY207" s="1318"/>
      <c r="HMA207" s="1320"/>
      <c r="HMB207" s="1320"/>
      <c r="HMC207" s="1318"/>
      <c r="HMD207" s="1318"/>
      <c r="HMJ207" s="1313"/>
      <c r="HMK207" s="1314"/>
      <c r="HML207" s="1313"/>
      <c r="HMM207" s="1315"/>
      <c r="HMN207" s="1316"/>
      <c r="HMO207" s="1317"/>
      <c r="HMP207" s="1316"/>
      <c r="HMQ207" s="1316"/>
      <c r="HMR207" s="1315"/>
      <c r="HMS207" s="1315"/>
      <c r="HMT207" s="1318"/>
      <c r="HMV207" s="1320"/>
      <c r="HMW207" s="1320"/>
      <c r="HMX207" s="1318"/>
      <c r="HMY207" s="1318"/>
      <c r="HNE207" s="1313"/>
      <c r="HNF207" s="1314"/>
      <c r="HNG207" s="1313"/>
      <c r="HNH207" s="1315"/>
      <c r="HNI207" s="1316"/>
      <c r="HNJ207" s="1317"/>
      <c r="HNK207" s="1316"/>
      <c r="HNL207" s="1316"/>
      <c r="HNM207" s="1315"/>
      <c r="HNN207" s="1315"/>
      <c r="HNO207" s="1318"/>
      <c r="HNQ207" s="1320"/>
      <c r="HNR207" s="1320"/>
      <c r="HNS207" s="1318"/>
      <c r="HNT207" s="1318"/>
      <c r="HNZ207" s="1313"/>
      <c r="HOA207" s="1314"/>
      <c r="HOB207" s="1313"/>
      <c r="HOC207" s="1315"/>
      <c r="HOD207" s="1316"/>
      <c r="HOE207" s="1317"/>
      <c r="HOF207" s="1316"/>
      <c r="HOG207" s="1316"/>
      <c r="HOH207" s="1315"/>
      <c r="HOI207" s="1315"/>
      <c r="HOJ207" s="1318"/>
      <c r="HOL207" s="1320"/>
      <c r="HOM207" s="1320"/>
      <c r="HON207" s="1318"/>
      <c r="HOO207" s="1318"/>
      <c r="HOU207" s="1313"/>
      <c r="HOV207" s="1314"/>
      <c r="HOW207" s="1313"/>
      <c r="HOX207" s="1315"/>
      <c r="HOY207" s="1316"/>
      <c r="HOZ207" s="1317"/>
      <c r="HPA207" s="1316"/>
      <c r="HPB207" s="1316"/>
      <c r="HPC207" s="1315"/>
      <c r="HPD207" s="1315"/>
      <c r="HPE207" s="1318"/>
      <c r="HPG207" s="1320"/>
      <c r="HPH207" s="1320"/>
      <c r="HPI207" s="1318"/>
      <c r="HPJ207" s="1318"/>
      <c r="HPP207" s="1313"/>
      <c r="HPQ207" s="1314"/>
      <c r="HPR207" s="1313"/>
      <c r="HPS207" s="1315"/>
      <c r="HPT207" s="1316"/>
      <c r="HPU207" s="1317"/>
      <c r="HPV207" s="1316"/>
      <c r="HPW207" s="1316"/>
      <c r="HPX207" s="1315"/>
      <c r="HPY207" s="1315"/>
      <c r="HPZ207" s="1318"/>
      <c r="HQB207" s="1320"/>
      <c r="HQC207" s="1320"/>
      <c r="HQD207" s="1318"/>
      <c r="HQE207" s="1318"/>
      <c r="HQK207" s="1313"/>
      <c r="HQL207" s="1314"/>
      <c r="HQM207" s="1313"/>
      <c r="HQN207" s="1315"/>
      <c r="HQO207" s="1316"/>
      <c r="HQP207" s="1317"/>
      <c r="HQQ207" s="1316"/>
      <c r="HQR207" s="1316"/>
      <c r="HQS207" s="1315"/>
      <c r="HQT207" s="1315"/>
      <c r="HQU207" s="1318"/>
      <c r="HQW207" s="1320"/>
      <c r="HQX207" s="1320"/>
      <c r="HQY207" s="1318"/>
      <c r="HQZ207" s="1318"/>
      <c r="HRF207" s="1313"/>
      <c r="HRG207" s="1314"/>
      <c r="HRH207" s="1313"/>
      <c r="HRI207" s="1315"/>
      <c r="HRJ207" s="1316"/>
      <c r="HRK207" s="1317"/>
      <c r="HRL207" s="1316"/>
      <c r="HRM207" s="1316"/>
      <c r="HRN207" s="1315"/>
      <c r="HRO207" s="1315"/>
      <c r="HRP207" s="1318"/>
      <c r="HRR207" s="1320"/>
      <c r="HRS207" s="1320"/>
      <c r="HRT207" s="1318"/>
      <c r="HRU207" s="1318"/>
      <c r="HSA207" s="1313"/>
      <c r="HSB207" s="1314"/>
      <c r="HSC207" s="1313"/>
      <c r="HSD207" s="1315"/>
      <c r="HSE207" s="1316"/>
      <c r="HSF207" s="1317"/>
      <c r="HSG207" s="1316"/>
      <c r="HSH207" s="1316"/>
      <c r="HSI207" s="1315"/>
      <c r="HSJ207" s="1315"/>
      <c r="HSK207" s="1318"/>
      <c r="HSM207" s="1320"/>
      <c r="HSN207" s="1320"/>
      <c r="HSO207" s="1318"/>
      <c r="HSP207" s="1318"/>
      <c r="HSV207" s="1313"/>
      <c r="HSW207" s="1314"/>
      <c r="HSX207" s="1313"/>
      <c r="HSY207" s="1315"/>
      <c r="HSZ207" s="1316"/>
      <c r="HTA207" s="1317"/>
      <c r="HTB207" s="1316"/>
      <c r="HTC207" s="1316"/>
      <c r="HTD207" s="1315"/>
      <c r="HTE207" s="1315"/>
      <c r="HTF207" s="1318"/>
      <c r="HTH207" s="1320"/>
      <c r="HTI207" s="1320"/>
      <c r="HTJ207" s="1318"/>
      <c r="HTK207" s="1318"/>
      <c r="HTQ207" s="1313"/>
      <c r="HTR207" s="1314"/>
      <c r="HTS207" s="1313"/>
      <c r="HTT207" s="1315"/>
      <c r="HTU207" s="1316"/>
      <c r="HTV207" s="1317"/>
      <c r="HTW207" s="1316"/>
      <c r="HTX207" s="1316"/>
      <c r="HTY207" s="1315"/>
      <c r="HTZ207" s="1315"/>
      <c r="HUA207" s="1318"/>
      <c r="HUC207" s="1320"/>
      <c r="HUD207" s="1320"/>
      <c r="HUE207" s="1318"/>
      <c r="HUF207" s="1318"/>
      <c r="HUL207" s="1313"/>
      <c r="HUM207" s="1314"/>
      <c r="HUN207" s="1313"/>
      <c r="HUO207" s="1315"/>
      <c r="HUP207" s="1316"/>
      <c r="HUQ207" s="1317"/>
      <c r="HUR207" s="1316"/>
      <c r="HUS207" s="1316"/>
      <c r="HUT207" s="1315"/>
      <c r="HUU207" s="1315"/>
      <c r="HUV207" s="1318"/>
      <c r="HUX207" s="1320"/>
      <c r="HUY207" s="1320"/>
      <c r="HUZ207" s="1318"/>
      <c r="HVA207" s="1318"/>
      <c r="HVG207" s="1313"/>
      <c r="HVH207" s="1314"/>
      <c r="HVI207" s="1313"/>
      <c r="HVJ207" s="1315"/>
      <c r="HVK207" s="1316"/>
      <c r="HVL207" s="1317"/>
      <c r="HVM207" s="1316"/>
      <c r="HVN207" s="1316"/>
      <c r="HVO207" s="1315"/>
      <c r="HVP207" s="1315"/>
      <c r="HVQ207" s="1318"/>
      <c r="HVS207" s="1320"/>
      <c r="HVT207" s="1320"/>
      <c r="HVU207" s="1318"/>
      <c r="HVV207" s="1318"/>
      <c r="HWB207" s="1313"/>
      <c r="HWC207" s="1314"/>
      <c r="HWD207" s="1313"/>
      <c r="HWE207" s="1315"/>
      <c r="HWF207" s="1316"/>
      <c r="HWG207" s="1317"/>
      <c r="HWH207" s="1316"/>
      <c r="HWI207" s="1316"/>
      <c r="HWJ207" s="1315"/>
      <c r="HWK207" s="1315"/>
      <c r="HWL207" s="1318"/>
      <c r="HWN207" s="1320"/>
      <c r="HWO207" s="1320"/>
      <c r="HWP207" s="1318"/>
      <c r="HWQ207" s="1318"/>
      <c r="HWW207" s="1313"/>
      <c r="HWX207" s="1314"/>
      <c r="HWY207" s="1313"/>
      <c r="HWZ207" s="1315"/>
      <c r="HXA207" s="1316"/>
      <c r="HXB207" s="1317"/>
      <c r="HXC207" s="1316"/>
      <c r="HXD207" s="1316"/>
      <c r="HXE207" s="1315"/>
      <c r="HXF207" s="1315"/>
      <c r="HXG207" s="1318"/>
      <c r="HXI207" s="1320"/>
      <c r="HXJ207" s="1320"/>
      <c r="HXK207" s="1318"/>
      <c r="HXL207" s="1318"/>
      <c r="HXR207" s="1313"/>
      <c r="HXS207" s="1314"/>
      <c r="HXT207" s="1313"/>
      <c r="HXU207" s="1315"/>
      <c r="HXV207" s="1316"/>
      <c r="HXW207" s="1317"/>
      <c r="HXX207" s="1316"/>
      <c r="HXY207" s="1316"/>
      <c r="HXZ207" s="1315"/>
      <c r="HYA207" s="1315"/>
      <c r="HYB207" s="1318"/>
      <c r="HYD207" s="1320"/>
      <c r="HYE207" s="1320"/>
      <c r="HYF207" s="1318"/>
      <c r="HYG207" s="1318"/>
      <c r="HYM207" s="1313"/>
      <c r="HYN207" s="1314"/>
      <c r="HYO207" s="1313"/>
      <c r="HYP207" s="1315"/>
      <c r="HYQ207" s="1316"/>
      <c r="HYR207" s="1317"/>
      <c r="HYS207" s="1316"/>
      <c r="HYT207" s="1316"/>
      <c r="HYU207" s="1315"/>
      <c r="HYV207" s="1315"/>
      <c r="HYW207" s="1318"/>
      <c r="HYY207" s="1320"/>
      <c r="HYZ207" s="1320"/>
      <c r="HZA207" s="1318"/>
      <c r="HZB207" s="1318"/>
      <c r="HZH207" s="1313"/>
      <c r="HZI207" s="1314"/>
      <c r="HZJ207" s="1313"/>
      <c r="HZK207" s="1315"/>
      <c r="HZL207" s="1316"/>
      <c r="HZM207" s="1317"/>
      <c r="HZN207" s="1316"/>
      <c r="HZO207" s="1316"/>
      <c r="HZP207" s="1315"/>
      <c r="HZQ207" s="1315"/>
      <c r="HZR207" s="1318"/>
      <c r="HZT207" s="1320"/>
      <c r="HZU207" s="1320"/>
      <c r="HZV207" s="1318"/>
      <c r="HZW207" s="1318"/>
      <c r="IAC207" s="1313"/>
      <c r="IAD207" s="1314"/>
      <c r="IAE207" s="1313"/>
      <c r="IAF207" s="1315"/>
      <c r="IAG207" s="1316"/>
      <c r="IAH207" s="1317"/>
      <c r="IAI207" s="1316"/>
      <c r="IAJ207" s="1316"/>
      <c r="IAK207" s="1315"/>
      <c r="IAL207" s="1315"/>
      <c r="IAM207" s="1318"/>
      <c r="IAO207" s="1320"/>
      <c r="IAP207" s="1320"/>
      <c r="IAQ207" s="1318"/>
      <c r="IAR207" s="1318"/>
      <c r="IAX207" s="1313"/>
      <c r="IAY207" s="1314"/>
      <c r="IAZ207" s="1313"/>
      <c r="IBA207" s="1315"/>
      <c r="IBB207" s="1316"/>
      <c r="IBC207" s="1317"/>
      <c r="IBD207" s="1316"/>
      <c r="IBE207" s="1316"/>
      <c r="IBF207" s="1315"/>
      <c r="IBG207" s="1315"/>
      <c r="IBH207" s="1318"/>
      <c r="IBJ207" s="1320"/>
      <c r="IBK207" s="1320"/>
      <c r="IBL207" s="1318"/>
      <c r="IBM207" s="1318"/>
      <c r="IBS207" s="1313"/>
      <c r="IBT207" s="1314"/>
      <c r="IBU207" s="1313"/>
      <c r="IBV207" s="1315"/>
      <c r="IBW207" s="1316"/>
      <c r="IBX207" s="1317"/>
      <c r="IBY207" s="1316"/>
      <c r="IBZ207" s="1316"/>
      <c r="ICA207" s="1315"/>
      <c r="ICB207" s="1315"/>
      <c r="ICC207" s="1318"/>
      <c r="ICE207" s="1320"/>
      <c r="ICF207" s="1320"/>
      <c r="ICG207" s="1318"/>
      <c r="ICH207" s="1318"/>
      <c r="ICN207" s="1313"/>
      <c r="ICO207" s="1314"/>
      <c r="ICP207" s="1313"/>
      <c r="ICQ207" s="1315"/>
      <c r="ICR207" s="1316"/>
      <c r="ICS207" s="1317"/>
      <c r="ICT207" s="1316"/>
      <c r="ICU207" s="1316"/>
      <c r="ICV207" s="1315"/>
      <c r="ICW207" s="1315"/>
      <c r="ICX207" s="1318"/>
      <c r="ICZ207" s="1320"/>
      <c r="IDA207" s="1320"/>
      <c r="IDB207" s="1318"/>
      <c r="IDC207" s="1318"/>
      <c r="IDI207" s="1313"/>
      <c r="IDJ207" s="1314"/>
      <c r="IDK207" s="1313"/>
      <c r="IDL207" s="1315"/>
      <c r="IDM207" s="1316"/>
      <c r="IDN207" s="1317"/>
      <c r="IDO207" s="1316"/>
      <c r="IDP207" s="1316"/>
      <c r="IDQ207" s="1315"/>
      <c r="IDR207" s="1315"/>
      <c r="IDS207" s="1318"/>
      <c r="IDU207" s="1320"/>
      <c r="IDV207" s="1320"/>
      <c r="IDW207" s="1318"/>
      <c r="IDX207" s="1318"/>
      <c r="IED207" s="1313"/>
      <c r="IEE207" s="1314"/>
      <c r="IEF207" s="1313"/>
      <c r="IEG207" s="1315"/>
      <c r="IEH207" s="1316"/>
      <c r="IEI207" s="1317"/>
      <c r="IEJ207" s="1316"/>
      <c r="IEK207" s="1316"/>
      <c r="IEL207" s="1315"/>
      <c r="IEM207" s="1315"/>
      <c r="IEN207" s="1318"/>
      <c r="IEP207" s="1320"/>
      <c r="IEQ207" s="1320"/>
      <c r="IER207" s="1318"/>
      <c r="IES207" s="1318"/>
      <c r="IEY207" s="1313"/>
      <c r="IEZ207" s="1314"/>
      <c r="IFA207" s="1313"/>
      <c r="IFB207" s="1315"/>
      <c r="IFC207" s="1316"/>
      <c r="IFD207" s="1317"/>
      <c r="IFE207" s="1316"/>
      <c r="IFF207" s="1316"/>
      <c r="IFG207" s="1315"/>
      <c r="IFH207" s="1315"/>
      <c r="IFI207" s="1318"/>
      <c r="IFK207" s="1320"/>
      <c r="IFL207" s="1320"/>
      <c r="IFM207" s="1318"/>
      <c r="IFN207" s="1318"/>
      <c r="IFT207" s="1313"/>
      <c r="IFU207" s="1314"/>
      <c r="IFV207" s="1313"/>
      <c r="IFW207" s="1315"/>
      <c r="IFX207" s="1316"/>
      <c r="IFY207" s="1317"/>
      <c r="IFZ207" s="1316"/>
      <c r="IGA207" s="1316"/>
      <c r="IGB207" s="1315"/>
      <c r="IGC207" s="1315"/>
      <c r="IGD207" s="1318"/>
      <c r="IGF207" s="1320"/>
      <c r="IGG207" s="1320"/>
      <c r="IGH207" s="1318"/>
      <c r="IGI207" s="1318"/>
      <c r="IGO207" s="1313"/>
      <c r="IGP207" s="1314"/>
      <c r="IGQ207" s="1313"/>
      <c r="IGR207" s="1315"/>
      <c r="IGS207" s="1316"/>
      <c r="IGT207" s="1317"/>
      <c r="IGU207" s="1316"/>
      <c r="IGV207" s="1316"/>
      <c r="IGW207" s="1315"/>
      <c r="IGX207" s="1315"/>
      <c r="IGY207" s="1318"/>
      <c r="IHA207" s="1320"/>
      <c r="IHB207" s="1320"/>
      <c r="IHC207" s="1318"/>
      <c r="IHD207" s="1318"/>
      <c r="IHJ207" s="1313"/>
      <c r="IHK207" s="1314"/>
      <c r="IHL207" s="1313"/>
      <c r="IHM207" s="1315"/>
      <c r="IHN207" s="1316"/>
      <c r="IHO207" s="1317"/>
      <c r="IHP207" s="1316"/>
      <c r="IHQ207" s="1316"/>
      <c r="IHR207" s="1315"/>
      <c r="IHS207" s="1315"/>
      <c r="IHT207" s="1318"/>
      <c r="IHV207" s="1320"/>
      <c r="IHW207" s="1320"/>
      <c r="IHX207" s="1318"/>
      <c r="IHY207" s="1318"/>
      <c r="IIE207" s="1313"/>
      <c r="IIF207" s="1314"/>
      <c r="IIG207" s="1313"/>
      <c r="IIH207" s="1315"/>
      <c r="III207" s="1316"/>
      <c r="IIJ207" s="1317"/>
      <c r="IIK207" s="1316"/>
      <c r="IIL207" s="1316"/>
      <c r="IIM207" s="1315"/>
      <c r="IIN207" s="1315"/>
      <c r="IIO207" s="1318"/>
      <c r="IIQ207" s="1320"/>
      <c r="IIR207" s="1320"/>
      <c r="IIS207" s="1318"/>
      <c r="IIT207" s="1318"/>
      <c r="IIZ207" s="1313"/>
      <c r="IJA207" s="1314"/>
      <c r="IJB207" s="1313"/>
      <c r="IJC207" s="1315"/>
      <c r="IJD207" s="1316"/>
      <c r="IJE207" s="1317"/>
      <c r="IJF207" s="1316"/>
      <c r="IJG207" s="1316"/>
      <c r="IJH207" s="1315"/>
      <c r="IJI207" s="1315"/>
      <c r="IJJ207" s="1318"/>
      <c r="IJL207" s="1320"/>
      <c r="IJM207" s="1320"/>
      <c r="IJN207" s="1318"/>
      <c r="IJO207" s="1318"/>
      <c r="IJU207" s="1313"/>
      <c r="IJV207" s="1314"/>
      <c r="IJW207" s="1313"/>
      <c r="IJX207" s="1315"/>
      <c r="IJY207" s="1316"/>
      <c r="IJZ207" s="1317"/>
      <c r="IKA207" s="1316"/>
      <c r="IKB207" s="1316"/>
      <c r="IKC207" s="1315"/>
      <c r="IKD207" s="1315"/>
      <c r="IKE207" s="1318"/>
      <c r="IKG207" s="1320"/>
      <c r="IKH207" s="1320"/>
      <c r="IKI207" s="1318"/>
      <c r="IKJ207" s="1318"/>
      <c r="IKP207" s="1313"/>
      <c r="IKQ207" s="1314"/>
      <c r="IKR207" s="1313"/>
      <c r="IKS207" s="1315"/>
      <c r="IKT207" s="1316"/>
      <c r="IKU207" s="1317"/>
      <c r="IKV207" s="1316"/>
      <c r="IKW207" s="1316"/>
      <c r="IKX207" s="1315"/>
      <c r="IKY207" s="1315"/>
      <c r="IKZ207" s="1318"/>
      <c r="ILB207" s="1320"/>
      <c r="ILC207" s="1320"/>
      <c r="ILD207" s="1318"/>
      <c r="ILE207" s="1318"/>
      <c r="ILK207" s="1313"/>
      <c r="ILL207" s="1314"/>
      <c r="ILM207" s="1313"/>
      <c r="ILN207" s="1315"/>
      <c r="ILO207" s="1316"/>
      <c r="ILP207" s="1317"/>
      <c r="ILQ207" s="1316"/>
      <c r="ILR207" s="1316"/>
      <c r="ILS207" s="1315"/>
      <c r="ILT207" s="1315"/>
      <c r="ILU207" s="1318"/>
      <c r="ILW207" s="1320"/>
      <c r="ILX207" s="1320"/>
      <c r="ILY207" s="1318"/>
      <c r="ILZ207" s="1318"/>
      <c r="IMF207" s="1313"/>
      <c r="IMG207" s="1314"/>
      <c r="IMH207" s="1313"/>
      <c r="IMI207" s="1315"/>
      <c r="IMJ207" s="1316"/>
      <c r="IMK207" s="1317"/>
      <c r="IML207" s="1316"/>
      <c r="IMM207" s="1316"/>
      <c r="IMN207" s="1315"/>
      <c r="IMO207" s="1315"/>
      <c r="IMP207" s="1318"/>
      <c r="IMR207" s="1320"/>
      <c r="IMS207" s="1320"/>
      <c r="IMT207" s="1318"/>
      <c r="IMU207" s="1318"/>
      <c r="INA207" s="1313"/>
      <c r="INB207" s="1314"/>
      <c r="INC207" s="1313"/>
      <c r="IND207" s="1315"/>
      <c r="INE207" s="1316"/>
      <c r="INF207" s="1317"/>
      <c r="ING207" s="1316"/>
      <c r="INH207" s="1316"/>
      <c r="INI207" s="1315"/>
      <c r="INJ207" s="1315"/>
      <c r="INK207" s="1318"/>
      <c r="INM207" s="1320"/>
      <c r="INN207" s="1320"/>
      <c r="INO207" s="1318"/>
      <c r="INP207" s="1318"/>
      <c r="INV207" s="1313"/>
      <c r="INW207" s="1314"/>
      <c r="INX207" s="1313"/>
      <c r="INY207" s="1315"/>
      <c r="INZ207" s="1316"/>
      <c r="IOA207" s="1317"/>
      <c r="IOB207" s="1316"/>
      <c r="IOC207" s="1316"/>
      <c r="IOD207" s="1315"/>
      <c r="IOE207" s="1315"/>
      <c r="IOF207" s="1318"/>
      <c r="IOH207" s="1320"/>
      <c r="IOI207" s="1320"/>
      <c r="IOJ207" s="1318"/>
      <c r="IOK207" s="1318"/>
      <c r="IOQ207" s="1313"/>
      <c r="IOR207" s="1314"/>
      <c r="IOS207" s="1313"/>
      <c r="IOT207" s="1315"/>
      <c r="IOU207" s="1316"/>
      <c r="IOV207" s="1317"/>
      <c r="IOW207" s="1316"/>
      <c r="IOX207" s="1316"/>
      <c r="IOY207" s="1315"/>
      <c r="IOZ207" s="1315"/>
      <c r="IPA207" s="1318"/>
      <c r="IPC207" s="1320"/>
      <c r="IPD207" s="1320"/>
      <c r="IPE207" s="1318"/>
      <c r="IPF207" s="1318"/>
      <c r="IPL207" s="1313"/>
      <c r="IPM207" s="1314"/>
      <c r="IPN207" s="1313"/>
      <c r="IPO207" s="1315"/>
      <c r="IPP207" s="1316"/>
      <c r="IPQ207" s="1317"/>
      <c r="IPR207" s="1316"/>
      <c r="IPS207" s="1316"/>
      <c r="IPT207" s="1315"/>
      <c r="IPU207" s="1315"/>
      <c r="IPV207" s="1318"/>
      <c r="IPX207" s="1320"/>
      <c r="IPY207" s="1320"/>
      <c r="IPZ207" s="1318"/>
      <c r="IQA207" s="1318"/>
      <c r="IQG207" s="1313"/>
      <c r="IQH207" s="1314"/>
      <c r="IQI207" s="1313"/>
      <c r="IQJ207" s="1315"/>
      <c r="IQK207" s="1316"/>
      <c r="IQL207" s="1317"/>
      <c r="IQM207" s="1316"/>
      <c r="IQN207" s="1316"/>
      <c r="IQO207" s="1315"/>
      <c r="IQP207" s="1315"/>
      <c r="IQQ207" s="1318"/>
      <c r="IQS207" s="1320"/>
      <c r="IQT207" s="1320"/>
      <c r="IQU207" s="1318"/>
      <c r="IQV207" s="1318"/>
      <c r="IRB207" s="1313"/>
      <c r="IRC207" s="1314"/>
      <c r="IRD207" s="1313"/>
      <c r="IRE207" s="1315"/>
      <c r="IRF207" s="1316"/>
      <c r="IRG207" s="1317"/>
      <c r="IRH207" s="1316"/>
      <c r="IRI207" s="1316"/>
      <c r="IRJ207" s="1315"/>
      <c r="IRK207" s="1315"/>
      <c r="IRL207" s="1318"/>
      <c r="IRN207" s="1320"/>
      <c r="IRO207" s="1320"/>
      <c r="IRP207" s="1318"/>
      <c r="IRQ207" s="1318"/>
      <c r="IRW207" s="1313"/>
      <c r="IRX207" s="1314"/>
      <c r="IRY207" s="1313"/>
      <c r="IRZ207" s="1315"/>
      <c r="ISA207" s="1316"/>
      <c r="ISB207" s="1317"/>
      <c r="ISC207" s="1316"/>
      <c r="ISD207" s="1316"/>
      <c r="ISE207" s="1315"/>
      <c r="ISF207" s="1315"/>
      <c r="ISG207" s="1318"/>
      <c r="ISI207" s="1320"/>
      <c r="ISJ207" s="1320"/>
      <c r="ISK207" s="1318"/>
      <c r="ISL207" s="1318"/>
      <c r="ISR207" s="1313"/>
      <c r="ISS207" s="1314"/>
      <c r="IST207" s="1313"/>
      <c r="ISU207" s="1315"/>
      <c r="ISV207" s="1316"/>
      <c r="ISW207" s="1317"/>
      <c r="ISX207" s="1316"/>
      <c r="ISY207" s="1316"/>
      <c r="ISZ207" s="1315"/>
      <c r="ITA207" s="1315"/>
      <c r="ITB207" s="1318"/>
      <c r="ITD207" s="1320"/>
      <c r="ITE207" s="1320"/>
      <c r="ITF207" s="1318"/>
      <c r="ITG207" s="1318"/>
      <c r="ITM207" s="1313"/>
      <c r="ITN207" s="1314"/>
      <c r="ITO207" s="1313"/>
      <c r="ITP207" s="1315"/>
      <c r="ITQ207" s="1316"/>
      <c r="ITR207" s="1317"/>
      <c r="ITS207" s="1316"/>
      <c r="ITT207" s="1316"/>
      <c r="ITU207" s="1315"/>
      <c r="ITV207" s="1315"/>
      <c r="ITW207" s="1318"/>
      <c r="ITY207" s="1320"/>
      <c r="ITZ207" s="1320"/>
      <c r="IUA207" s="1318"/>
      <c r="IUB207" s="1318"/>
      <c r="IUH207" s="1313"/>
      <c r="IUI207" s="1314"/>
      <c r="IUJ207" s="1313"/>
      <c r="IUK207" s="1315"/>
      <c r="IUL207" s="1316"/>
      <c r="IUM207" s="1317"/>
      <c r="IUN207" s="1316"/>
      <c r="IUO207" s="1316"/>
      <c r="IUP207" s="1315"/>
      <c r="IUQ207" s="1315"/>
      <c r="IUR207" s="1318"/>
      <c r="IUT207" s="1320"/>
      <c r="IUU207" s="1320"/>
      <c r="IUV207" s="1318"/>
      <c r="IUW207" s="1318"/>
      <c r="IVC207" s="1313"/>
      <c r="IVD207" s="1314"/>
      <c r="IVE207" s="1313"/>
      <c r="IVF207" s="1315"/>
      <c r="IVG207" s="1316"/>
      <c r="IVH207" s="1317"/>
      <c r="IVI207" s="1316"/>
      <c r="IVJ207" s="1316"/>
      <c r="IVK207" s="1315"/>
      <c r="IVL207" s="1315"/>
      <c r="IVM207" s="1318"/>
      <c r="IVO207" s="1320"/>
      <c r="IVP207" s="1320"/>
      <c r="IVQ207" s="1318"/>
      <c r="IVR207" s="1318"/>
      <c r="IVX207" s="1313"/>
      <c r="IVY207" s="1314"/>
      <c r="IVZ207" s="1313"/>
      <c r="IWA207" s="1315"/>
      <c r="IWB207" s="1316"/>
      <c r="IWC207" s="1317"/>
      <c r="IWD207" s="1316"/>
      <c r="IWE207" s="1316"/>
      <c r="IWF207" s="1315"/>
      <c r="IWG207" s="1315"/>
      <c r="IWH207" s="1318"/>
      <c r="IWJ207" s="1320"/>
      <c r="IWK207" s="1320"/>
      <c r="IWL207" s="1318"/>
      <c r="IWM207" s="1318"/>
      <c r="IWS207" s="1313"/>
      <c r="IWT207" s="1314"/>
      <c r="IWU207" s="1313"/>
      <c r="IWV207" s="1315"/>
      <c r="IWW207" s="1316"/>
      <c r="IWX207" s="1317"/>
      <c r="IWY207" s="1316"/>
      <c r="IWZ207" s="1316"/>
      <c r="IXA207" s="1315"/>
      <c r="IXB207" s="1315"/>
      <c r="IXC207" s="1318"/>
      <c r="IXE207" s="1320"/>
      <c r="IXF207" s="1320"/>
      <c r="IXG207" s="1318"/>
      <c r="IXH207" s="1318"/>
      <c r="IXN207" s="1313"/>
      <c r="IXO207" s="1314"/>
      <c r="IXP207" s="1313"/>
      <c r="IXQ207" s="1315"/>
      <c r="IXR207" s="1316"/>
      <c r="IXS207" s="1317"/>
      <c r="IXT207" s="1316"/>
      <c r="IXU207" s="1316"/>
      <c r="IXV207" s="1315"/>
      <c r="IXW207" s="1315"/>
      <c r="IXX207" s="1318"/>
      <c r="IXZ207" s="1320"/>
      <c r="IYA207" s="1320"/>
      <c r="IYB207" s="1318"/>
      <c r="IYC207" s="1318"/>
      <c r="IYI207" s="1313"/>
      <c r="IYJ207" s="1314"/>
      <c r="IYK207" s="1313"/>
      <c r="IYL207" s="1315"/>
      <c r="IYM207" s="1316"/>
      <c r="IYN207" s="1317"/>
      <c r="IYO207" s="1316"/>
      <c r="IYP207" s="1316"/>
      <c r="IYQ207" s="1315"/>
      <c r="IYR207" s="1315"/>
      <c r="IYS207" s="1318"/>
      <c r="IYU207" s="1320"/>
      <c r="IYV207" s="1320"/>
      <c r="IYW207" s="1318"/>
      <c r="IYX207" s="1318"/>
      <c r="IZD207" s="1313"/>
      <c r="IZE207" s="1314"/>
      <c r="IZF207" s="1313"/>
      <c r="IZG207" s="1315"/>
      <c r="IZH207" s="1316"/>
      <c r="IZI207" s="1317"/>
      <c r="IZJ207" s="1316"/>
      <c r="IZK207" s="1316"/>
      <c r="IZL207" s="1315"/>
      <c r="IZM207" s="1315"/>
      <c r="IZN207" s="1318"/>
      <c r="IZP207" s="1320"/>
      <c r="IZQ207" s="1320"/>
      <c r="IZR207" s="1318"/>
      <c r="IZS207" s="1318"/>
      <c r="IZY207" s="1313"/>
      <c r="IZZ207" s="1314"/>
      <c r="JAA207" s="1313"/>
      <c r="JAB207" s="1315"/>
      <c r="JAC207" s="1316"/>
      <c r="JAD207" s="1317"/>
      <c r="JAE207" s="1316"/>
      <c r="JAF207" s="1316"/>
      <c r="JAG207" s="1315"/>
      <c r="JAH207" s="1315"/>
      <c r="JAI207" s="1318"/>
      <c r="JAK207" s="1320"/>
      <c r="JAL207" s="1320"/>
      <c r="JAM207" s="1318"/>
      <c r="JAN207" s="1318"/>
      <c r="JAT207" s="1313"/>
      <c r="JAU207" s="1314"/>
      <c r="JAV207" s="1313"/>
      <c r="JAW207" s="1315"/>
      <c r="JAX207" s="1316"/>
      <c r="JAY207" s="1317"/>
      <c r="JAZ207" s="1316"/>
      <c r="JBA207" s="1316"/>
      <c r="JBB207" s="1315"/>
      <c r="JBC207" s="1315"/>
      <c r="JBD207" s="1318"/>
      <c r="JBF207" s="1320"/>
      <c r="JBG207" s="1320"/>
      <c r="JBH207" s="1318"/>
      <c r="JBI207" s="1318"/>
      <c r="JBO207" s="1313"/>
      <c r="JBP207" s="1314"/>
      <c r="JBQ207" s="1313"/>
      <c r="JBR207" s="1315"/>
      <c r="JBS207" s="1316"/>
      <c r="JBT207" s="1317"/>
      <c r="JBU207" s="1316"/>
      <c r="JBV207" s="1316"/>
      <c r="JBW207" s="1315"/>
      <c r="JBX207" s="1315"/>
      <c r="JBY207" s="1318"/>
      <c r="JCA207" s="1320"/>
      <c r="JCB207" s="1320"/>
      <c r="JCC207" s="1318"/>
      <c r="JCD207" s="1318"/>
      <c r="JCJ207" s="1313"/>
      <c r="JCK207" s="1314"/>
      <c r="JCL207" s="1313"/>
      <c r="JCM207" s="1315"/>
      <c r="JCN207" s="1316"/>
      <c r="JCO207" s="1317"/>
      <c r="JCP207" s="1316"/>
      <c r="JCQ207" s="1316"/>
      <c r="JCR207" s="1315"/>
      <c r="JCS207" s="1315"/>
      <c r="JCT207" s="1318"/>
      <c r="JCV207" s="1320"/>
      <c r="JCW207" s="1320"/>
      <c r="JCX207" s="1318"/>
      <c r="JCY207" s="1318"/>
      <c r="JDE207" s="1313"/>
      <c r="JDF207" s="1314"/>
      <c r="JDG207" s="1313"/>
      <c r="JDH207" s="1315"/>
      <c r="JDI207" s="1316"/>
      <c r="JDJ207" s="1317"/>
      <c r="JDK207" s="1316"/>
      <c r="JDL207" s="1316"/>
      <c r="JDM207" s="1315"/>
      <c r="JDN207" s="1315"/>
      <c r="JDO207" s="1318"/>
      <c r="JDQ207" s="1320"/>
      <c r="JDR207" s="1320"/>
      <c r="JDS207" s="1318"/>
      <c r="JDT207" s="1318"/>
      <c r="JDZ207" s="1313"/>
      <c r="JEA207" s="1314"/>
      <c r="JEB207" s="1313"/>
      <c r="JEC207" s="1315"/>
      <c r="JED207" s="1316"/>
      <c r="JEE207" s="1317"/>
      <c r="JEF207" s="1316"/>
      <c r="JEG207" s="1316"/>
      <c r="JEH207" s="1315"/>
      <c r="JEI207" s="1315"/>
      <c r="JEJ207" s="1318"/>
      <c r="JEL207" s="1320"/>
      <c r="JEM207" s="1320"/>
      <c r="JEN207" s="1318"/>
      <c r="JEO207" s="1318"/>
      <c r="JEU207" s="1313"/>
      <c r="JEV207" s="1314"/>
      <c r="JEW207" s="1313"/>
      <c r="JEX207" s="1315"/>
      <c r="JEY207" s="1316"/>
      <c r="JEZ207" s="1317"/>
      <c r="JFA207" s="1316"/>
      <c r="JFB207" s="1316"/>
      <c r="JFC207" s="1315"/>
      <c r="JFD207" s="1315"/>
      <c r="JFE207" s="1318"/>
      <c r="JFG207" s="1320"/>
      <c r="JFH207" s="1320"/>
      <c r="JFI207" s="1318"/>
      <c r="JFJ207" s="1318"/>
      <c r="JFP207" s="1313"/>
      <c r="JFQ207" s="1314"/>
      <c r="JFR207" s="1313"/>
      <c r="JFS207" s="1315"/>
      <c r="JFT207" s="1316"/>
      <c r="JFU207" s="1317"/>
      <c r="JFV207" s="1316"/>
      <c r="JFW207" s="1316"/>
      <c r="JFX207" s="1315"/>
      <c r="JFY207" s="1315"/>
      <c r="JFZ207" s="1318"/>
      <c r="JGB207" s="1320"/>
      <c r="JGC207" s="1320"/>
      <c r="JGD207" s="1318"/>
      <c r="JGE207" s="1318"/>
      <c r="JGK207" s="1313"/>
      <c r="JGL207" s="1314"/>
      <c r="JGM207" s="1313"/>
      <c r="JGN207" s="1315"/>
      <c r="JGO207" s="1316"/>
      <c r="JGP207" s="1317"/>
      <c r="JGQ207" s="1316"/>
      <c r="JGR207" s="1316"/>
      <c r="JGS207" s="1315"/>
      <c r="JGT207" s="1315"/>
      <c r="JGU207" s="1318"/>
      <c r="JGW207" s="1320"/>
      <c r="JGX207" s="1320"/>
      <c r="JGY207" s="1318"/>
      <c r="JGZ207" s="1318"/>
      <c r="JHF207" s="1313"/>
      <c r="JHG207" s="1314"/>
      <c r="JHH207" s="1313"/>
      <c r="JHI207" s="1315"/>
      <c r="JHJ207" s="1316"/>
      <c r="JHK207" s="1317"/>
      <c r="JHL207" s="1316"/>
      <c r="JHM207" s="1316"/>
      <c r="JHN207" s="1315"/>
      <c r="JHO207" s="1315"/>
      <c r="JHP207" s="1318"/>
      <c r="JHR207" s="1320"/>
      <c r="JHS207" s="1320"/>
      <c r="JHT207" s="1318"/>
      <c r="JHU207" s="1318"/>
      <c r="JIA207" s="1313"/>
      <c r="JIB207" s="1314"/>
      <c r="JIC207" s="1313"/>
      <c r="JID207" s="1315"/>
      <c r="JIE207" s="1316"/>
      <c r="JIF207" s="1317"/>
      <c r="JIG207" s="1316"/>
      <c r="JIH207" s="1316"/>
      <c r="JII207" s="1315"/>
      <c r="JIJ207" s="1315"/>
      <c r="JIK207" s="1318"/>
      <c r="JIM207" s="1320"/>
      <c r="JIN207" s="1320"/>
      <c r="JIO207" s="1318"/>
      <c r="JIP207" s="1318"/>
      <c r="JIV207" s="1313"/>
      <c r="JIW207" s="1314"/>
      <c r="JIX207" s="1313"/>
      <c r="JIY207" s="1315"/>
      <c r="JIZ207" s="1316"/>
      <c r="JJA207" s="1317"/>
      <c r="JJB207" s="1316"/>
      <c r="JJC207" s="1316"/>
      <c r="JJD207" s="1315"/>
      <c r="JJE207" s="1315"/>
      <c r="JJF207" s="1318"/>
      <c r="JJH207" s="1320"/>
      <c r="JJI207" s="1320"/>
      <c r="JJJ207" s="1318"/>
      <c r="JJK207" s="1318"/>
      <c r="JJQ207" s="1313"/>
      <c r="JJR207" s="1314"/>
      <c r="JJS207" s="1313"/>
      <c r="JJT207" s="1315"/>
      <c r="JJU207" s="1316"/>
      <c r="JJV207" s="1317"/>
      <c r="JJW207" s="1316"/>
      <c r="JJX207" s="1316"/>
      <c r="JJY207" s="1315"/>
      <c r="JJZ207" s="1315"/>
      <c r="JKA207" s="1318"/>
      <c r="JKC207" s="1320"/>
      <c r="JKD207" s="1320"/>
      <c r="JKE207" s="1318"/>
      <c r="JKF207" s="1318"/>
      <c r="JKL207" s="1313"/>
      <c r="JKM207" s="1314"/>
      <c r="JKN207" s="1313"/>
      <c r="JKO207" s="1315"/>
      <c r="JKP207" s="1316"/>
      <c r="JKQ207" s="1317"/>
      <c r="JKR207" s="1316"/>
      <c r="JKS207" s="1316"/>
      <c r="JKT207" s="1315"/>
      <c r="JKU207" s="1315"/>
      <c r="JKV207" s="1318"/>
      <c r="JKX207" s="1320"/>
      <c r="JKY207" s="1320"/>
      <c r="JKZ207" s="1318"/>
      <c r="JLA207" s="1318"/>
      <c r="JLG207" s="1313"/>
      <c r="JLH207" s="1314"/>
      <c r="JLI207" s="1313"/>
      <c r="JLJ207" s="1315"/>
      <c r="JLK207" s="1316"/>
      <c r="JLL207" s="1317"/>
      <c r="JLM207" s="1316"/>
      <c r="JLN207" s="1316"/>
      <c r="JLO207" s="1315"/>
      <c r="JLP207" s="1315"/>
      <c r="JLQ207" s="1318"/>
      <c r="JLS207" s="1320"/>
      <c r="JLT207" s="1320"/>
      <c r="JLU207" s="1318"/>
      <c r="JLV207" s="1318"/>
      <c r="JMB207" s="1313"/>
      <c r="JMC207" s="1314"/>
      <c r="JMD207" s="1313"/>
      <c r="JME207" s="1315"/>
      <c r="JMF207" s="1316"/>
      <c r="JMG207" s="1317"/>
      <c r="JMH207" s="1316"/>
      <c r="JMI207" s="1316"/>
      <c r="JMJ207" s="1315"/>
      <c r="JMK207" s="1315"/>
      <c r="JML207" s="1318"/>
      <c r="JMN207" s="1320"/>
      <c r="JMO207" s="1320"/>
      <c r="JMP207" s="1318"/>
      <c r="JMQ207" s="1318"/>
      <c r="JMW207" s="1313"/>
      <c r="JMX207" s="1314"/>
      <c r="JMY207" s="1313"/>
      <c r="JMZ207" s="1315"/>
      <c r="JNA207" s="1316"/>
      <c r="JNB207" s="1317"/>
      <c r="JNC207" s="1316"/>
      <c r="JND207" s="1316"/>
      <c r="JNE207" s="1315"/>
      <c r="JNF207" s="1315"/>
      <c r="JNG207" s="1318"/>
      <c r="JNI207" s="1320"/>
      <c r="JNJ207" s="1320"/>
      <c r="JNK207" s="1318"/>
      <c r="JNL207" s="1318"/>
      <c r="JNR207" s="1313"/>
      <c r="JNS207" s="1314"/>
      <c r="JNT207" s="1313"/>
      <c r="JNU207" s="1315"/>
      <c r="JNV207" s="1316"/>
      <c r="JNW207" s="1317"/>
      <c r="JNX207" s="1316"/>
      <c r="JNY207" s="1316"/>
      <c r="JNZ207" s="1315"/>
      <c r="JOA207" s="1315"/>
      <c r="JOB207" s="1318"/>
      <c r="JOD207" s="1320"/>
      <c r="JOE207" s="1320"/>
      <c r="JOF207" s="1318"/>
      <c r="JOG207" s="1318"/>
      <c r="JOM207" s="1313"/>
      <c r="JON207" s="1314"/>
      <c r="JOO207" s="1313"/>
      <c r="JOP207" s="1315"/>
      <c r="JOQ207" s="1316"/>
      <c r="JOR207" s="1317"/>
      <c r="JOS207" s="1316"/>
      <c r="JOT207" s="1316"/>
      <c r="JOU207" s="1315"/>
      <c r="JOV207" s="1315"/>
      <c r="JOW207" s="1318"/>
      <c r="JOY207" s="1320"/>
      <c r="JOZ207" s="1320"/>
      <c r="JPA207" s="1318"/>
      <c r="JPB207" s="1318"/>
      <c r="JPH207" s="1313"/>
      <c r="JPI207" s="1314"/>
      <c r="JPJ207" s="1313"/>
      <c r="JPK207" s="1315"/>
      <c r="JPL207" s="1316"/>
      <c r="JPM207" s="1317"/>
      <c r="JPN207" s="1316"/>
      <c r="JPO207" s="1316"/>
      <c r="JPP207" s="1315"/>
      <c r="JPQ207" s="1315"/>
      <c r="JPR207" s="1318"/>
      <c r="JPT207" s="1320"/>
      <c r="JPU207" s="1320"/>
      <c r="JPV207" s="1318"/>
      <c r="JPW207" s="1318"/>
      <c r="JQC207" s="1313"/>
      <c r="JQD207" s="1314"/>
      <c r="JQE207" s="1313"/>
      <c r="JQF207" s="1315"/>
      <c r="JQG207" s="1316"/>
      <c r="JQH207" s="1317"/>
      <c r="JQI207" s="1316"/>
      <c r="JQJ207" s="1316"/>
      <c r="JQK207" s="1315"/>
      <c r="JQL207" s="1315"/>
      <c r="JQM207" s="1318"/>
      <c r="JQO207" s="1320"/>
      <c r="JQP207" s="1320"/>
      <c r="JQQ207" s="1318"/>
      <c r="JQR207" s="1318"/>
      <c r="JQX207" s="1313"/>
      <c r="JQY207" s="1314"/>
      <c r="JQZ207" s="1313"/>
      <c r="JRA207" s="1315"/>
      <c r="JRB207" s="1316"/>
      <c r="JRC207" s="1317"/>
      <c r="JRD207" s="1316"/>
      <c r="JRE207" s="1316"/>
      <c r="JRF207" s="1315"/>
      <c r="JRG207" s="1315"/>
      <c r="JRH207" s="1318"/>
      <c r="JRJ207" s="1320"/>
      <c r="JRK207" s="1320"/>
      <c r="JRL207" s="1318"/>
      <c r="JRM207" s="1318"/>
      <c r="JRS207" s="1313"/>
      <c r="JRT207" s="1314"/>
      <c r="JRU207" s="1313"/>
      <c r="JRV207" s="1315"/>
      <c r="JRW207" s="1316"/>
      <c r="JRX207" s="1317"/>
      <c r="JRY207" s="1316"/>
      <c r="JRZ207" s="1316"/>
      <c r="JSA207" s="1315"/>
      <c r="JSB207" s="1315"/>
      <c r="JSC207" s="1318"/>
      <c r="JSE207" s="1320"/>
      <c r="JSF207" s="1320"/>
      <c r="JSG207" s="1318"/>
      <c r="JSH207" s="1318"/>
      <c r="JSN207" s="1313"/>
      <c r="JSO207" s="1314"/>
      <c r="JSP207" s="1313"/>
      <c r="JSQ207" s="1315"/>
      <c r="JSR207" s="1316"/>
      <c r="JSS207" s="1317"/>
      <c r="JST207" s="1316"/>
      <c r="JSU207" s="1316"/>
      <c r="JSV207" s="1315"/>
      <c r="JSW207" s="1315"/>
      <c r="JSX207" s="1318"/>
      <c r="JSZ207" s="1320"/>
      <c r="JTA207" s="1320"/>
      <c r="JTB207" s="1318"/>
      <c r="JTC207" s="1318"/>
      <c r="JTI207" s="1313"/>
      <c r="JTJ207" s="1314"/>
      <c r="JTK207" s="1313"/>
      <c r="JTL207" s="1315"/>
      <c r="JTM207" s="1316"/>
      <c r="JTN207" s="1317"/>
      <c r="JTO207" s="1316"/>
      <c r="JTP207" s="1316"/>
      <c r="JTQ207" s="1315"/>
      <c r="JTR207" s="1315"/>
      <c r="JTS207" s="1318"/>
      <c r="JTU207" s="1320"/>
      <c r="JTV207" s="1320"/>
      <c r="JTW207" s="1318"/>
      <c r="JTX207" s="1318"/>
      <c r="JUD207" s="1313"/>
      <c r="JUE207" s="1314"/>
      <c r="JUF207" s="1313"/>
      <c r="JUG207" s="1315"/>
      <c r="JUH207" s="1316"/>
      <c r="JUI207" s="1317"/>
      <c r="JUJ207" s="1316"/>
      <c r="JUK207" s="1316"/>
      <c r="JUL207" s="1315"/>
      <c r="JUM207" s="1315"/>
      <c r="JUN207" s="1318"/>
      <c r="JUP207" s="1320"/>
      <c r="JUQ207" s="1320"/>
      <c r="JUR207" s="1318"/>
      <c r="JUS207" s="1318"/>
      <c r="JUY207" s="1313"/>
      <c r="JUZ207" s="1314"/>
      <c r="JVA207" s="1313"/>
      <c r="JVB207" s="1315"/>
      <c r="JVC207" s="1316"/>
      <c r="JVD207" s="1317"/>
      <c r="JVE207" s="1316"/>
      <c r="JVF207" s="1316"/>
      <c r="JVG207" s="1315"/>
      <c r="JVH207" s="1315"/>
      <c r="JVI207" s="1318"/>
      <c r="JVK207" s="1320"/>
      <c r="JVL207" s="1320"/>
      <c r="JVM207" s="1318"/>
      <c r="JVN207" s="1318"/>
      <c r="JVT207" s="1313"/>
      <c r="JVU207" s="1314"/>
      <c r="JVV207" s="1313"/>
      <c r="JVW207" s="1315"/>
      <c r="JVX207" s="1316"/>
      <c r="JVY207" s="1317"/>
      <c r="JVZ207" s="1316"/>
      <c r="JWA207" s="1316"/>
      <c r="JWB207" s="1315"/>
      <c r="JWC207" s="1315"/>
      <c r="JWD207" s="1318"/>
      <c r="JWF207" s="1320"/>
      <c r="JWG207" s="1320"/>
      <c r="JWH207" s="1318"/>
      <c r="JWI207" s="1318"/>
      <c r="JWO207" s="1313"/>
      <c r="JWP207" s="1314"/>
      <c r="JWQ207" s="1313"/>
      <c r="JWR207" s="1315"/>
      <c r="JWS207" s="1316"/>
      <c r="JWT207" s="1317"/>
      <c r="JWU207" s="1316"/>
      <c r="JWV207" s="1316"/>
      <c r="JWW207" s="1315"/>
      <c r="JWX207" s="1315"/>
      <c r="JWY207" s="1318"/>
      <c r="JXA207" s="1320"/>
      <c r="JXB207" s="1320"/>
      <c r="JXC207" s="1318"/>
      <c r="JXD207" s="1318"/>
      <c r="JXJ207" s="1313"/>
      <c r="JXK207" s="1314"/>
      <c r="JXL207" s="1313"/>
      <c r="JXM207" s="1315"/>
      <c r="JXN207" s="1316"/>
      <c r="JXO207" s="1317"/>
      <c r="JXP207" s="1316"/>
      <c r="JXQ207" s="1316"/>
      <c r="JXR207" s="1315"/>
      <c r="JXS207" s="1315"/>
      <c r="JXT207" s="1318"/>
      <c r="JXV207" s="1320"/>
      <c r="JXW207" s="1320"/>
      <c r="JXX207" s="1318"/>
      <c r="JXY207" s="1318"/>
      <c r="JYE207" s="1313"/>
      <c r="JYF207" s="1314"/>
      <c r="JYG207" s="1313"/>
      <c r="JYH207" s="1315"/>
      <c r="JYI207" s="1316"/>
      <c r="JYJ207" s="1317"/>
      <c r="JYK207" s="1316"/>
      <c r="JYL207" s="1316"/>
      <c r="JYM207" s="1315"/>
      <c r="JYN207" s="1315"/>
      <c r="JYO207" s="1318"/>
      <c r="JYQ207" s="1320"/>
      <c r="JYR207" s="1320"/>
      <c r="JYS207" s="1318"/>
      <c r="JYT207" s="1318"/>
      <c r="JYZ207" s="1313"/>
      <c r="JZA207" s="1314"/>
      <c r="JZB207" s="1313"/>
      <c r="JZC207" s="1315"/>
      <c r="JZD207" s="1316"/>
      <c r="JZE207" s="1317"/>
      <c r="JZF207" s="1316"/>
      <c r="JZG207" s="1316"/>
      <c r="JZH207" s="1315"/>
      <c r="JZI207" s="1315"/>
      <c r="JZJ207" s="1318"/>
      <c r="JZL207" s="1320"/>
      <c r="JZM207" s="1320"/>
      <c r="JZN207" s="1318"/>
      <c r="JZO207" s="1318"/>
      <c r="JZU207" s="1313"/>
      <c r="JZV207" s="1314"/>
      <c r="JZW207" s="1313"/>
      <c r="JZX207" s="1315"/>
      <c r="JZY207" s="1316"/>
      <c r="JZZ207" s="1317"/>
      <c r="KAA207" s="1316"/>
      <c r="KAB207" s="1316"/>
      <c r="KAC207" s="1315"/>
      <c r="KAD207" s="1315"/>
      <c r="KAE207" s="1318"/>
      <c r="KAG207" s="1320"/>
      <c r="KAH207" s="1320"/>
      <c r="KAI207" s="1318"/>
      <c r="KAJ207" s="1318"/>
      <c r="KAP207" s="1313"/>
      <c r="KAQ207" s="1314"/>
      <c r="KAR207" s="1313"/>
      <c r="KAS207" s="1315"/>
      <c r="KAT207" s="1316"/>
      <c r="KAU207" s="1317"/>
      <c r="KAV207" s="1316"/>
      <c r="KAW207" s="1316"/>
      <c r="KAX207" s="1315"/>
      <c r="KAY207" s="1315"/>
      <c r="KAZ207" s="1318"/>
      <c r="KBB207" s="1320"/>
      <c r="KBC207" s="1320"/>
      <c r="KBD207" s="1318"/>
      <c r="KBE207" s="1318"/>
      <c r="KBK207" s="1313"/>
      <c r="KBL207" s="1314"/>
      <c r="KBM207" s="1313"/>
      <c r="KBN207" s="1315"/>
      <c r="KBO207" s="1316"/>
      <c r="KBP207" s="1317"/>
      <c r="KBQ207" s="1316"/>
      <c r="KBR207" s="1316"/>
      <c r="KBS207" s="1315"/>
      <c r="KBT207" s="1315"/>
      <c r="KBU207" s="1318"/>
      <c r="KBW207" s="1320"/>
      <c r="KBX207" s="1320"/>
      <c r="KBY207" s="1318"/>
      <c r="KBZ207" s="1318"/>
      <c r="KCF207" s="1313"/>
      <c r="KCG207" s="1314"/>
      <c r="KCH207" s="1313"/>
      <c r="KCI207" s="1315"/>
      <c r="KCJ207" s="1316"/>
      <c r="KCK207" s="1317"/>
      <c r="KCL207" s="1316"/>
      <c r="KCM207" s="1316"/>
      <c r="KCN207" s="1315"/>
      <c r="KCO207" s="1315"/>
      <c r="KCP207" s="1318"/>
      <c r="KCR207" s="1320"/>
      <c r="KCS207" s="1320"/>
      <c r="KCT207" s="1318"/>
      <c r="KCU207" s="1318"/>
      <c r="KDA207" s="1313"/>
      <c r="KDB207" s="1314"/>
      <c r="KDC207" s="1313"/>
      <c r="KDD207" s="1315"/>
      <c r="KDE207" s="1316"/>
      <c r="KDF207" s="1317"/>
      <c r="KDG207" s="1316"/>
      <c r="KDH207" s="1316"/>
      <c r="KDI207" s="1315"/>
      <c r="KDJ207" s="1315"/>
      <c r="KDK207" s="1318"/>
      <c r="KDM207" s="1320"/>
      <c r="KDN207" s="1320"/>
      <c r="KDO207" s="1318"/>
      <c r="KDP207" s="1318"/>
      <c r="KDV207" s="1313"/>
      <c r="KDW207" s="1314"/>
      <c r="KDX207" s="1313"/>
      <c r="KDY207" s="1315"/>
      <c r="KDZ207" s="1316"/>
      <c r="KEA207" s="1317"/>
      <c r="KEB207" s="1316"/>
      <c r="KEC207" s="1316"/>
      <c r="KED207" s="1315"/>
      <c r="KEE207" s="1315"/>
      <c r="KEF207" s="1318"/>
      <c r="KEH207" s="1320"/>
      <c r="KEI207" s="1320"/>
      <c r="KEJ207" s="1318"/>
      <c r="KEK207" s="1318"/>
      <c r="KEQ207" s="1313"/>
      <c r="KER207" s="1314"/>
      <c r="KES207" s="1313"/>
      <c r="KET207" s="1315"/>
      <c r="KEU207" s="1316"/>
      <c r="KEV207" s="1317"/>
      <c r="KEW207" s="1316"/>
      <c r="KEX207" s="1316"/>
      <c r="KEY207" s="1315"/>
      <c r="KEZ207" s="1315"/>
      <c r="KFA207" s="1318"/>
      <c r="KFC207" s="1320"/>
      <c r="KFD207" s="1320"/>
      <c r="KFE207" s="1318"/>
      <c r="KFF207" s="1318"/>
      <c r="KFL207" s="1313"/>
      <c r="KFM207" s="1314"/>
      <c r="KFN207" s="1313"/>
      <c r="KFO207" s="1315"/>
      <c r="KFP207" s="1316"/>
      <c r="KFQ207" s="1317"/>
      <c r="KFR207" s="1316"/>
      <c r="KFS207" s="1316"/>
      <c r="KFT207" s="1315"/>
      <c r="KFU207" s="1315"/>
      <c r="KFV207" s="1318"/>
      <c r="KFX207" s="1320"/>
      <c r="KFY207" s="1320"/>
      <c r="KFZ207" s="1318"/>
      <c r="KGA207" s="1318"/>
      <c r="KGG207" s="1313"/>
      <c r="KGH207" s="1314"/>
      <c r="KGI207" s="1313"/>
      <c r="KGJ207" s="1315"/>
      <c r="KGK207" s="1316"/>
      <c r="KGL207" s="1317"/>
      <c r="KGM207" s="1316"/>
      <c r="KGN207" s="1316"/>
      <c r="KGO207" s="1315"/>
      <c r="KGP207" s="1315"/>
      <c r="KGQ207" s="1318"/>
      <c r="KGS207" s="1320"/>
      <c r="KGT207" s="1320"/>
      <c r="KGU207" s="1318"/>
      <c r="KGV207" s="1318"/>
      <c r="KHB207" s="1313"/>
      <c r="KHC207" s="1314"/>
      <c r="KHD207" s="1313"/>
      <c r="KHE207" s="1315"/>
      <c r="KHF207" s="1316"/>
      <c r="KHG207" s="1317"/>
      <c r="KHH207" s="1316"/>
      <c r="KHI207" s="1316"/>
      <c r="KHJ207" s="1315"/>
      <c r="KHK207" s="1315"/>
      <c r="KHL207" s="1318"/>
      <c r="KHN207" s="1320"/>
      <c r="KHO207" s="1320"/>
      <c r="KHP207" s="1318"/>
      <c r="KHQ207" s="1318"/>
      <c r="KHW207" s="1313"/>
      <c r="KHX207" s="1314"/>
      <c r="KHY207" s="1313"/>
      <c r="KHZ207" s="1315"/>
      <c r="KIA207" s="1316"/>
      <c r="KIB207" s="1317"/>
      <c r="KIC207" s="1316"/>
      <c r="KID207" s="1316"/>
      <c r="KIE207" s="1315"/>
      <c r="KIF207" s="1315"/>
      <c r="KIG207" s="1318"/>
      <c r="KII207" s="1320"/>
      <c r="KIJ207" s="1320"/>
      <c r="KIK207" s="1318"/>
      <c r="KIL207" s="1318"/>
      <c r="KIR207" s="1313"/>
      <c r="KIS207" s="1314"/>
      <c r="KIT207" s="1313"/>
      <c r="KIU207" s="1315"/>
      <c r="KIV207" s="1316"/>
      <c r="KIW207" s="1317"/>
      <c r="KIX207" s="1316"/>
      <c r="KIY207" s="1316"/>
      <c r="KIZ207" s="1315"/>
      <c r="KJA207" s="1315"/>
      <c r="KJB207" s="1318"/>
      <c r="KJD207" s="1320"/>
      <c r="KJE207" s="1320"/>
      <c r="KJF207" s="1318"/>
      <c r="KJG207" s="1318"/>
      <c r="KJM207" s="1313"/>
      <c r="KJN207" s="1314"/>
      <c r="KJO207" s="1313"/>
      <c r="KJP207" s="1315"/>
      <c r="KJQ207" s="1316"/>
      <c r="KJR207" s="1317"/>
      <c r="KJS207" s="1316"/>
      <c r="KJT207" s="1316"/>
      <c r="KJU207" s="1315"/>
      <c r="KJV207" s="1315"/>
      <c r="KJW207" s="1318"/>
      <c r="KJY207" s="1320"/>
      <c r="KJZ207" s="1320"/>
      <c r="KKA207" s="1318"/>
      <c r="KKB207" s="1318"/>
      <c r="KKH207" s="1313"/>
      <c r="KKI207" s="1314"/>
      <c r="KKJ207" s="1313"/>
      <c r="KKK207" s="1315"/>
      <c r="KKL207" s="1316"/>
      <c r="KKM207" s="1317"/>
      <c r="KKN207" s="1316"/>
      <c r="KKO207" s="1316"/>
      <c r="KKP207" s="1315"/>
      <c r="KKQ207" s="1315"/>
      <c r="KKR207" s="1318"/>
      <c r="KKT207" s="1320"/>
      <c r="KKU207" s="1320"/>
      <c r="KKV207" s="1318"/>
      <c r="KKW207" s="1318"/>
      <c r="KLC207" s="1313"/>
      <c r="KLD207" s="1314"/>
      <c r="KLE207" s="1313"/>
      <c r="KLF207" s="1315"/>
      <c r="KLG207" s="1316"/>
      <c r="KLH207" s="1317"/>
      <c r="KLI207" s="1316"/>
      <c r="KLJ207" s="1316"/>
      <c r="KLK207" s="1315"/>
      <c r="KLL207" s="1315"/>
      <c r="KLM207" s="1318"/>
      <c r="KLO207" s="1320"/>
      <c r="KLP207" s="1320"/>
      <c r="KLQ207" s="1318"/>
      <c r="KLR207" s="1318"/>
      <c r="KLX207" s="1313"/>
      <c r="KLY207" s="1314"/>
      <c r="KLZ207" s="1313"/>
      <c r="KMA207" s="1315"/>
      <c r="KMB207" s="1316"/>
      <c r="KMC207" s="1317"/>
      <c r="KMD207" s="1316"/>
      <c r="KME207" s="1316"/>
      <c r="KMF207" s="1315"/>
      <c r="KMG207" s="1315"/>
      <c r="KMH207" s="1318"/>
      <c r="KMJ207" s="1320"/>
      <c r="KMK207" s="1320"/>
      <c r="KML207" s="1318"/>
      <c r="KMM207" s="1318"/>
      <c r="KMS207" s="1313"/>
      <c r="KMT207" s="1314"/>
      <c r="KMU207" s="1313"/>
      <c r="KMV207" s="1315"/>
      <c r="KMW207" s="1316"/>
      <c r="KMX207" s="1317"/>
      <c r="KMY207" s="1316"/>
      <c r="KMZ207" s="1316"/>
      <c r="KNA207" s="1315"/>
      <c r="KNB207" s="1315"/>
      <c r="KNC207" s="1318"/>
      <c r="KNE207" s="1320"/>
      <c r="KNF207" s="1320"/>
      <c r="KNG207" s="1318"/>
      <c r="KNH207" s="1318"/>
      <c r="KNN207" s="1313"/>
      <c r="KNO207" s="1314"/>
      <c r="KNP207" s="1313"/>
      <c r="KNQ207" s="1315"/>
      <c r="KNR207" s="1316"/>
      <c r="KNS207" s="1317"/>
      <c r="KNT207" s="1316"/>
      <c r="KNU207" s="1316"/>
      <c r="KNV207" s="1315"/>
      <c r="KNW207" s="1315"/>
      <c r="KNX207" s="1318"/>
      <c r="KNZ207" s="1320"/>
      <c r="KOA207" s="1320"/>
      <c r="KOB207" s="1318"/>
      <c r="KOC207" s="1318"/>
      <c r="KOI207" s="1313"/>
      <c r="KOJ207" s="1314"/>
      <c r="KOK207" s="1313"/>
      <c r="KOL207" s="1315"/>
      <c r="KOM207" s="1316"/>
      <c r="KON207" s="1317"/>
      <c r="KOO207" s="1316"/>
      <c r="KOP207" s="1316"/>
      <c r="KOQ207" s="1315"/>
      <c r="KOR207" s="1315"/>
      <c r="KOS207" s="1318"/>
      <c r="KOU207" s="1320"/>
      <c r="KOV207" s="1320"/>
      <c r="KOW207" s="1318"/>
      <c r="KOX207" s="1318"/>
      <c r="KPD207" s="1313"/>
      <c r="KPE207" s="1314"/>
      <c r="KPF207" s="1313"/>
      <c r="KPG207" s="1315"/>
      <c r="KPH207" s="1316"/>
      <c r="KPI207" s="1317"/>
      <c r="KPJ207" s="1316"/>
      <c r="KPK207" s="1316"/>
      <c r="KPL207" s="1315"/>
      <c r="KPM207" s="1315"/>
      <c r="KPN207" s="1318"/>
      <c r="KPP207" s="1320"/>
      <c r="KPQ207" s="1320"/>
      <c r="KPR207" s="1318"/>
      <c r="KPS207" s="1318"/>
      <c r="KPY207" s="1313"/>
      <c r="KPZ207" s="1314"/>
      <c r="KQA207" s="1313"/>
      <c r="KQB207" s="1315"/>
      <c r="KQC207" s="1316"/>
      <c r="KQD207" s="1317"/>
      <c r="KQE207" s="1316"/>
      <c r="KQF207" s="1316"/>
      <c r="KQG207" s="1315"/>
      <c r="KQH207" s="1315"/>
      <c r="KQI207" s="1318"/>
      <c r="KQK207" s="1320"/>
      <c r="KQL207" s="1320"/>
      <c r="KQM207" s="1318"/>
      <c r="KQN207" s="1318"/>
      <c r="KQT207" s="1313"/>
      <c r="KQU207" s="1314"/>
      <c r="KQV207" s="1313"/>
      <c r="KQW207" s="1315"/>
      <c r="KQX207" s="1316"/>
      <c r="KQY207" s="1317"/>
      <c r="KQZ207" s="1316"/>
      <c r="KRA207" s="1316"/>
      <c r="KRB207" s="1315"/>
      <c r="KRC207" s="1315"/>
      <c r="KRD207" s="1318"/>
      <c r="KRF207" s="1320"/>
      <c r="KRG207" s="1320"/>
      <c r="KRH207" s="1318"/>
      <c r="KRI207" s="1318"/>
      <c r="KRO207" s="1313"/>
      <c r="KRP207" s="1314"/>
      <c r="KRQ207" s="1313"/>
      <c r="KRR207" s="1315"/>
      <c r="KRS207" s="1316"/>
      <c r="KRT207" s="1317"/>
      <c r="KRU207" s="1316"/>
      <c r="KRV207" s="1316"/>
      <c r="KRW207" s="1315"/>
      <c r="KRX207" s="1315"/>
      <c r="KRY207" s="1318"/>
      <c r="KSA207" s="1320"/>
      <c r="KSB207" s="1320"/>
      <c r="KSC207" s="1318"/>
      <c r="KSD207" s="1318"/>
      <c r="KSJ207" s="1313"/>
      <c r="KSK207" s="1314"/>
      <c r="KSL207" s="1313"/>
      <c r="KSM207" s="1315"/>
      <c r="KSN207" s="1316"/>
      <c r="KSO207" s="1317"/>
      <c r="KSP207" s="1316"/>
      <c r="KSQ207" s="1316"/>
      <c r="KSR207" s="1315"/>
      <c r="KSS207" s="1315"/>
      <c r="KST207" s="1318"/>
      <c r="KSV207" s="1320"/>
      <c r="KSW207" s="1320"/>
      <c r="KSX207" s="1318"/>
      <c r="KSY207" s="1318"/>
      <c r="KTE207" s="1313"/>
      <c r="KTF207" s="1314"/>
      <c r="KTG207" s="1313"/>
      <c r="KTH207" s="1315"/>
      <c r="KTI207" s="1316"/>
      <c r="KTJ207" s="1317"/>
      <c r="KTK207" s="1316"/>
      <c r="KTL207" s="1316"/>
      <c r="KTM207" s="1315"/>
      <c r="KTN207" s="1315"/>
      <c r="KTO207" s="1318"/>
      <c r="KTQ207" s="1320"/>
      <c r="KTR207" s="1320"/>
      <c r="KTS207" s="1318"/>
      <c r="KTT207" s="1318"/>
      <c r="KTZ207" s="1313"/>
      <c r="KUA207" s="1314"/>
      <c r="KUB207" s="1313"/>
      <c r="KUC207" s="1315"/>
      <c r="KUD207" s="1316"/>
      <c r="KUE207" s="1317"/>
      <c r="KUF207" s="1316"/>
      <c r="KUG207" s="1316"/>
      <c r="KUH207" s="1315"/>
      <c r="KUI207" s="1315"/>
      <c r="KUJ207" s="1318"/>
      <c r="KUL207" s="1320"/>
      <c r="KUM207" s="1320"/>
      <c r="KUN207" s="1318"/>
      <c r="KUO207" s="1318"/>
      <c r="KUU207" s="1313"/>
      <c r="KUV207" s="1314"/>
      <c r="KUW207" s="1313"/>
      <c r="KUX207" s="1315"/>
      <c r="KUY207" s="1316"/>
      <c r="KUZ207" s="1317"/>
      <c r="KVA207" s="1316"/>
      <c r="KVB207" s="1316"/>
      <c r="KVC207" s="1315"/>
      <c r="KVD207" s="1315"/>
      <c r="KVE207" s="1318"/>
      <c r="KVG207" s="1320"/>
      <c r="KVH207" s="1320"/>
      <c r="KVI207" s="1318"/>
      <c r="KVJ207" s="1318"/>
      <c r="KVP207" s="1313"/>
      <c r="KVQ207" s="1314"/>
      <c r="KVR207" s="1313"/>
      <c r="KVS207" s="1315"/>
      <c r="KVT207" s="1316"/>
      <c r="KVU207" s="1317"/>
      <c r="KVV207" s="1316"/>
      <c r="KVW207" s="1316"/>
      <c r="KVX207" s="1315"/>
      <c r="KVY207" s="1315"/>
      <c r="KVZ207" s="1318"/>
      <c r="KWB207" s="1320"/>
      <c r="KWC207" s="1320"/>
      <c r="KWD207" s="1318"/>
      <c r="KWE207" s="1318"/>
      <c r="KWK207" s="1313"/>
      <c r="KWL207" s="1314"/>
      <c r="KWM207" s="1313"/>
      <c r="KWN207" s="1315"/>
      <c r="KWO207" s="1316"/>
      <c r="KWP207" s="1317"/>
      <c r="KWQ207" s="1316"/>
      <c r="KWR207" s="1316"/>
      <c r="KWS207" s="1315"/>
      <c r="KWT207" s="1315"/>
      <c r="KWU207" s="1318"/>
      <c r="KWW207" s="1320"/>
      <c r="KWX207" s="1320"/>
      <c r="KWY207" s="1318"/>
      <c r="KWZ207" s="1318"/>
      <c r="KXF207" s="1313"/>
      <c r="KXG207" s="1314"/>
      <c r="KXH207" s="1313"/>
      <c r="KXI207" s="1315"/>
      <c r="KXJ207" s="1316"/>
      <c r="KXK207" s="1317"/>
      <c r="KXL207" s="1316"/>
      <c r="KXM207" s="1316"/>
      <c r="KXN207" s="1315"/>
      <c r="KXO207" s="1315"/>
      <c r="KXP207" s="1318"/>
      <c r="KXR207" s="1320"/>
      <c r="KXS207" s="1320"/>
      <c r="KXT207" s="1318"/>
      <c r="KXU207" s="1318"/>
      <c r="KYA207" s="1313"/>
      <c r="KYB207" s="1314"/>
      <c r="KYC207" s="1313"/>
      <c r="KYD207" s="1315"/>
      <c r="KYE207" s="1316"/>
      <c r="KYF207" s="1317"/>
      <c r="KYG207" s="1316"/>
      <c r="KYH207" s="1316"/>
      <c r="KYI207" s="1315"/>
      <c r="KYJ207" s="1315"/>
      <c r="KYK207" s="1318"/>
      <c r="KYM207" s="1320"/>
      <c r="KYN207" s="1320"/>
      <c r="KYO207" s="1318"/>
      <c r="KYP207" s="1318"/>
      <c r="KYV207" s="1313"/>
      <c r="KYW207" s="1314"/>
      <c r="KYX207" s="1313"/>
      <c r="KYY207" s="1315"/>
      <c r="KYZ207" s="1316"/>
      <c r="KZA207" s="1317"/>
      <c r="KZB207" s="1316"/>
      <c r="KZC207" s="1316"/>
      <c r="KZD207" s="1315"/>
      <c r="KZE207" s="1315"/>
      <c r="KZF207" s="1318"/>
      <c r="KZH207" s="1320"/>
      <c r="KZI207" s="1320"/>
      <c r="KZJ207" s="1318"/>
      <c r="KZK207" s="1318"/>
      <c r="KZQ207" s="1313"/>
      <c r="KZR207" s="1314"/>
      <c r="KZS207" s="1313"/>
      <c r="KZT207" s="1315"/>
      <c r="KZU207" s="1316"/>
      <c r="KZV207" s="1317"/>
      <c r="KZW207" s="1316"/>
      <c r="KZX207" s="1316"/>
      <c r="KZY207" s="1315"/>
      <c r="KZZ207" s="1315"/>
      <c r="LAA207" s="1318"/>
      <c r="LAC207" s="1320"/>
      <c r="LAD207" s="1320"/>
      <c r="LAE207" s="1318"/>
      <c r="LAF207" s="1318"/>
      <c r="LAL207" s="1313"/>
      <c r="LAM207" s="1314"/>
      <c r="LAN207" s="1313"/>
      <c r="LAO207" s="1315"/>
      <c r="LAP207" s="1316"/>
      <c r="LAQ207" s="1317"/>
      <c r="LAR207" s="1316"/>
      <c r="LAS207" s="1316"/>
      <c r="LAT207" s="1315"/>
      <c r="LAU207" s="1315"/>
      <c r="LAV207" s="1318"/>
      <c r="LAX207" s="1320"/>
      <c r="LAY207" s="1320"/>
      <c r="LAZ207" s="1318"/>
      <c r="LBA207" s="1318"/>
      <c r="LBG207" s="1313"/>
      <c r="LBH207" s="1314"/>
      <c r="LBI207" s="1313"/>
      <c r="LBJ207" s="1315"/>
      <c r="LBK207" s="1316"/>
      <c r="LBL207" s="1317"/>
      <c r="LBM207" s="1316"/>
      <c r="LBN207" s="1316"/>
      <c r="LBO207" s="1315"/>
      <c r="LBP207" s="1315"/>
      <c r="LBQ207" s="1318"/>
      <c r="LBS207" s="1320"/>
      <c r="LBT207" s="1320"/>
      <c r="LBU207" s="1318"/>
      <c r="LBV207" s="1318"/>
      <c r="LCB207" s="1313"/>
      <c r="LCC207" s="1314"/>
      <c r="LCD207" s="1313"/>
      <c r="LCE207" s="1315"/>
      <c r="LCF207" s="1316"/>
      <c r="LCG207" s="1317"/>
      <c r="LCH207" s="1316"/>
      <c r="LCI207" s="1316"/>
      <c r="LCJ207" s="1315"/>
      <c r="LCK207" s="1315"/>
      <c r="LCL207" s="1318"/>
      <c r="LCN207" s="1320"/>
      <c r="LCO207" s="1320"/>
      <c r="LCP207" s="1318"/>
      <c r="LCQ207" s="1318"/>
      <c r="LCW207" s="1313"/>
      <c r="LCX207" s="1314"/>
      <c r="LCY207" s="1313"/>
      <c r="LCZ207" s="1315"/>
      <c r="LDA207" s="1316"/>
      <c r="LDB207" s="1317"/>
      <c r="LDC207" s="1316"/>
      <c r="LDD207" s="1316"/>
      <c r="LDE207" s="1315"/>
      <c r="LDF207" s="1315"/>
      <c r="LDG207" s="1318"/>
      <c r="LDI207" s="1320"/>
      <c r="LDJ207" s="1320"/>
      <c r="LDK207" s="1318"/>
      <c r="LDL207" s="1318"/>
      <c r="LDR207" s="1313"/>
      <c r="LDS207" s="1314"/>
      <c r="LDT207" s="1313"/>
      <c r="LDU207" s="1315"/>
      <c r="LDV207" s="1316"/>
      <c r="LDW207" s="1317"/>
      <c r="LDX207" s="1316"/>
      <c r="LDY207" s="1316"/>
      <c r="LDZ207" s="1315"/>
      <c r="LEA207" s="1315"/>
      <c r="LEB207" s="1318"/>
      <c r="LED207" s="1320"/>
      <c r="LEE207" s="1320"/>
      <c r="LEF207" s="1318"/>
      <c r="LEG207" s="1318"/>
      <c r="LEM207" s="1313"/>
      <c r="LEN207" s="1314"/>
      <c r="LEO207" s="1313"/>
      <c r="LEP207" s="1315"/>
      <c r="LEQ207" s="1316"/>
      <c r="LER207" s="1317"/>
      <c r="LES207" s="1316"/>
      <c r="LET207" s="1316"/>
      <c r="LEU207" s="1315"/>
      <c r="LEV207" s="1315"/>
      <c r="LEW207" s="1318"/>
      <c r="LEY207" s="1320"/>
      <c r="LEZ207" s="1320"/>
      <c r="LFA207" s="1318"/>
      <c r="LFB207" s="1318"/>
      <c r="LFH207" s="1313"/>
      <c r="LFI207" s="1314"/>
      <c r="LFJ207" s="1313"/>
      <c r="LFK207" s="1315"/>
      <c r="LFL207" s="1316"/>
      <c r="LFM207" s="1317"/>
      <c r="LFN207" s="1316"/>
      <c r="LFO207" s="1316"/>
      <c r="LFP207" s="1315"/>
      <c r="LFQ207" s="1315"/>
      <c r="LFR207" s="1318"/>
      <c r="LFT207" s="1320"/>
      <c r="LFU207" s="1320"/>
      <c r="LFV207" s="1318"/>
      <c r="LFW207" s="1318"/>
      <c r="LGC207" s="1313"/>
      <c r="LGD207" s="1314"/>
      <c r="LGE207" s="1313"/>
      <c r="LGF207" s="1315"/>
      <c r="LGG207" s="1316"/>
      <c r="LGH207" s="1317"/>
      <c r="LGI207" s="1316"/>
      <c r="LGJ207" s="1316"/>
      <c r="LGK207" s="1315"/>
      <c r="LGL207" s="1315"/>
      <c r="LGM207" s="1318"/>
      <c r="LGO207" s="1320"/>
      <c r="LGP207" s="1320"/>
      <c r="LGQ207" s="1318"/>
      <c r="LGR207" s="1318"/>
      <c r="LGX207" s="1313"/>
      <c r="LGY207" s="1314"/>
      <c r="LGZ207" s="1313"/>
      <c r="LHA207" s="1315"/>
      <c r="LHB207" s="1316"/>
      <c r="LHC207" s="1317"/>
      <c r="LHD207" s="1316"/>
      <c r="LHE207" s="1316"/>
      <c r="LHF207" s="1315"/>
      <c r="LHG207" s="1315"/>
      <c r="LHH207" s="1318"/>
      <c r="LHJ207" s="1320"/>
      <c r="LHK207" s="1320"/>
      <c r="LHL207" s="1318"/>
      <c r="LHM207" s="1318"/>
      <c r="LHS207" s="1313"/>
      <c r="LHT207" s="1314"/>
      <c r="LHU207" s="1313"/>
      <c r="LHV207" s="1315"/>
      <c r="LHW207" s="1316"/>
      <c r="LHX207" s="1317"/>
      <c r="LHY207" s="1316"/>
      <c r="LHZ207" s="1316"/>
      <c r="LIA207" s="1315"/>
      <c r="LIB207" s="1315"/>
      <c r="LIC207" s="1318"/>
      <c r="LIE207" s="1320"/>
      <c r="LIF207" s="1320"/>
      <c r="LIG207" s="1318"/>
      <c r="LIH207" s="1318"/>
      <c r="LIN207" s="1313"/>
      <c r="LIO207" s="1314"/>
      <c r="LIP207" s="1313"/>
      <c r="LIQ207" s="1315"/>
      <c r="LIR207" s="1316"/>
      <c r="LIS207" s="1317"/>
      <c r="LIT207" s="1316"/>
      <c r="LIU207" s="1316"/>
      <c r="LIV207" s="1315"/>
      <c r="LIW207" s="1315"/>
      <c r="LIX207" s="1318"/>
      <c r="LIZ207" s="1320"/>
      <c r="LJA207" s="1320"/>
      <c r="LJB207" s="1318"/>
      <c r="LJC207" s="1318"/>
      <c r="LJI207" s="1313"/>
      <c r="LJJ207" s="1314"/>
      <c r="LJK207" s="1313"/>
      <c r="LJL207" s="1315"/>
      <c r="LJM207" s="1316"/>
      <c r="LJN207" s="1317"/>
      <c r="LJO207" s="1316"/>
      <c r="LJP207" s="1316"/>
      <c r="LJQ207" s="1315"/>
      <c r="LJR207" s="1315"/>
      <c r="LJS207" s="1318"/>
      <c r="LJU207" s="1320"/>
      <c r="LJV207" s="1320"/>
      <c r="LJW207" s="1318"/>
      <c r="LJX207" s="1318"/>
      <c r="LKD207" s="1313"/>
      <c r="LKE207" s="1314"/>
      <c r="LKF207" s="1313"/>
      <c r="LKG207" s="1315"/>
      <c r="LKH207" s="1316"/>
      <c r="LKI207" s="1317"/>
      <c r="LKJ207" s="1316"/>
      <c r="LKK207" s="1316"/>
      <c r="LKL207" s="1315"/>
      <c r="LKM207" s="1315"/>
      <c r="LKN207" s="1318"/>
      <c r="LKP207" s="1320"/>
      <c r="LKQ207" s="1320"/>
      <c r="LKR207" s="1318"/>
      <c r="LKS207" s="1318"/>
      <c r="LKY207" s="1313"/>
      <c r="LKZ207" s="1314"/>
      <c r="LLA207" s="1313"/>
      <c r="LLB207" s="1315"/>
      <c r="LLC207" s="1316"/>
      <c r="LLD207" s="1317"/>
      <c r="LLE207" s="1316"/>
      <c r="LLF207" s="1316"/>
      <c r="LLG207" s="1315"/>
      <c r="LLH207" s="1315"/>
      <c r="LLI207" s="1318"/>
      <c r="LLK207" s="1320"/>
      <c r="LLL207" s="1320"/>
      <c r="LLM207" s="1318"/>
      <c r="LLN207" s="1318"/>
      <c r="LLT207" s="1313"/>
      <c r="LLU207" s="1314"/>
      <c r="LLV207" s="1313"/>
      <c r="LLW207" s="1315"/>
      <c r="LLX207" s="1316"/>
      <c r="LLY207" s="1317"/>
      <c r="LLZ207" s="1316"/>
      <c r="LMA207" s="1316"/>
      <c r="LMB207" s="1315"/>
      <c r="LMC207" s="1315"/>
      <c r="LMD207" s="1318"/>
      <c r="LMF207" s="1320"/>
      <c r="LMG207" s="1320"/>
      <c r="LMH207" s="1318"/>
      <c r="LMI207" s="1318"/>
      <c r="LMO207" s="1313"/>
      <c r="LMP207" s="1314"/>
      <c r="LMQ207" s="1313"/>
      <c r="LMR207" s="1315"/>
      <c r="LMS207" s="1316"/>
      <c r="LMT207" s="1317"/>
      <c r="LMU207" s="1316"/>
      <c r="LMV207" s="1316"/>
      <c r="LMW207" s="1315"/>
      <c r="LMX207" s="1315"/>
      <c r="LMY207" s="1318"/>
      <c r="LNA207" s="1320"/>
      <c r="LNB207" s="1320"/>
      <c r="LNC207" s="1318"/>
      <c r="LND207" s="1318"/>
      <c r="LNJ207" s="1313"/>
      <c r="LNK207" s="1314"/>
      <c r="LNL207" s="1313"/>
      <c r="LNM207" s="1315"/>
      <c r="LNN207" s="1316"/>
      <c r="LNO207" s="1317"/>
      <c r="LNP207" s="1316"/>
      <c r="LNQ207" s="1316"/>
      <c r="LNR207" s="1315"/>
      <c r="LNS207" s="1315"/>
      <c r="LNT207" s="1318"/>
      <c r="LNV207" s="1320"/>
      <c r="LNW207" s="1320"/>
      <c r="LNX207" s="1318"/>
      <c r="LNY207" s="1318"/>
      <c r="LOE207" s="1313"/>
      <c r="LOF207" s="1314"/>
      <c r="LOG207" s="1313"/>
      <c r="LOH207" s="1315"/>
      <c r="LOI207" s="1316"/>
      <c r="LOJ207" s="1317"/>
      <c r="LOK207" s="1316"/>
      <c r="LOL207" s="1316"/>
      <c r="LOM207" s="1315"/>
      <c r="LON207" s="1315"/>
      <c r="LOO207" s="1318"/>
      <c r="LOQ207" s="1320"/>
      <c r="LOR207" s="1320"/>
      <c r="LOS207" s="1318"/>
      <c r="LOT207" s="1318"/>
      <c r="LOZ207" s="1313"/>
      <c r="LPA207" s="1314"/>
      <c r="LPB207" s="1313"/>
      <c r="LPC207" s="1315"/>
      <c r="LPD207" s="1316"/>
      <c r="LPE207" s="1317"/>
      <c r="LPF207" s="1316"/>
      <c r="LPG207" s="1316"/>
      <c r="LPH207" s="1315"/>
      <c r="LPI207" s="1315"/>
      <c r="LPJ207" s="1318"/>
      <c r="LPL207" s="1320"/>
      <c r="LPM207" s="1320"/>
      <c r="LPN207" s="1318"/>
      <c r="LPO207" s="1318"/>
      <c r="LPU207" s="1313"/>
      <c r="LPV207" s="1314"/>
      <c r="LPW207" s="1313"/>
      <c r="LPX207" s="1315"/>
      <c r="LPY207" s="1316"/>
      <c r="LPZ207" s="1317"/>
      <c r="LQA207" s="1316"/>
      <c r="LQB207" s="1316"/>
      <c r="LQC207" s="1315"/>
      <c r="LQD207" s="1315"/>
      <c r="LQE207" s="1318"/>
      <c r="LQG207" s="1320"/>
      <c r="LQH207" s="1320"/>
      <c r="LQI207" s="1318"/>
      <c r="LQJ207" s="1318"/>
      <c r="LQP207" s="1313"/>
      <c r="LQQ207" s="1314"/>
      <c r="LQR207" s="1313"/>
      <c r="LQS207" s="1315"/>
      <c r="LQT207" s="1316"/>
      <c r="LQU207" s="1317"/>
      <c r="LQV207" s="1316"/>
      <c r="LQW207" s="1316"/>
      <c r="LQX207" s="1315"/>
      <c r="LQY207" s="1315"/>
      <c r="LQZ207" s="1318"/>
      <c r="LRB207" s="1320"/>
      <c r="LRC207" s="1320"/>
      <c r="LRD207" s="1318"/>
      <c r="LRE207" s="1318"/>
      <c r="LRK207" s="1313"/>
      <c r="LRL207" s="1314"/>
      <c r="LRM207" s="1313"/>
      <c r="LRN207" s="1315"/>
      <c r="LRO207" s="1316"/>
      <c r="LRP207" s="1317"/>
      <c r="LRQ207" s="1316"/>
      <c r="LRR207" s="1316"/>
      <c r="LRS207" s="1315"/>
      <c r="LRT207" s="1315"/>
      <c r="LRU207" s="1318"/>
      <c r="LRW207" s="1320"/>
      <c r="LRX207" s="1320"/>
      <c r="LRY207" s="1318"/>
      <c r="LRZ207" s="1318"/>
      <c r="LSF207" s="1313"/>
      <c r="LSG207" s="1314"/>
      <c r="LSH207" s="1313"/>
      <c r="LSI207" s="1315"/>
      <c r="LSJ207" s="1316"/>
      <c r="LSK207" s="1317"/>
      <c r="LSL207" s="1316"/>
      <c r="LSM207" s="1316"/>
      <c r="LSN207" s="1315"/>
      <c r="LSO207" s="1315"/>
      <c r="LSP207" s="1318"/>
      <c r="LSR207" s="1320"/>
      <c r="LSS207" s="1320"/>
      <c r="LST207" s="1318"/>
      <c r="LSU207" s="1318"/>
      <c r="LTA207" s="1313"/>
      <c r="LTB207" s="1314"/>
      <c r="LTC207" s="1313"/>
      <c r="LTD207" s="1315"/>
      <c r="LTE207" s="1316"/>
      <c r="LTF207" s="1317"/>
      <c r="LTG207" s="1316"/>
      <c r="LTH207" s="1316"/>
      <c r="LTI207" s="1315"/>
      <c r="LTJ207" s="1315"/>
      <c r="LTK207" s="1318"/>
      <c r="LTM207" s="1320"/>
      <c r="LTN207" s="1320"/>
      <c r="LTO207" s="1318"/>
      <c r="LTP207" s="1318"/>
      <c r="LTV207" s="1313"/>
      <c r="LTW207" s="1314"/>
      <c r="LTX207" s="1313"/>
      <c r="LTY207" s="1315"/>
      <c r="LTZ207" s="1316"/>
      <c r="LUA207" s="1317"/>
      <c r="LUB207" s="1316"/>
      <c r="LUC207" s="1316"/>
      <c r="LUD207" s="1315"/>
      <c r="LUE207" s="1315"/>
      <c r="LUF207" s="1318"/>
      <c r="LUH207" s="1320"/>
      <c r="LUI207" s="1320"/>
      <c r="LUJ207" s="1318"/>
      <c r="LUK207" s="1318"/>
      <c r="LUQ207" s="1313"/>
      <c r="LUR207" s="1314"/>
      <c r="LUS207" s="1313"/>
      <c r="LUT207" s="1315"/>
      <c r="LUU207" s="1316"/>
      <c r="LUV207" s="1317"/>
      <c r="LUW207" s="1316"/>
      <c r="LUX207" s="1316"/>
      <c r="LUY207" s="1315"/>
      <c r="LUZ207" s="1315"/>
      <c r="LVA207" s="1318"/>
      <c r="LVC207" s="1320"/>
      <c r="LVD207" s="1320"/>
      <c r="LVE207" s="1318"/>
      <c r="LVF207" s="1318"/>
      <c r="LVL207" s="1313"/>
      <c r="LVM207" s="1314"/>
      <c r="LVN207" s="1313"/>
      <c r="LVO207" s="1315"/>
      <c r="LVP207" s="1316"/>
      <c r="LVQ207" s="1317"/>
      <c r="LVR207" s="1316"/>
      <c r="LVS207" s="1316"/>
      <c r="LVT207" s="1315"/>
      <c r="LVU207" s="1315"/>
      <c r="LVV207" s="1318"/>
      <c r="LVX207" s="1320"/>
      <c r="LVY207" s="1320"/>
      <c r="LVZ207" s="1318"/>
      <c r="LWA207" s="1318"/>
      <c r="LWG207" s="1313"/>
      <c r="LWH207" s="1314"/>
      <c r="LWI207" s="1313"/>
      <c r="LWJ207" s="1315"/>
      <c r="LWK207" s="1316"/>
      <c r="LWL207" s="1317"/>
      <c r="LWM207" s="1316"/>
      <c r="LWN207" s="1316"/>
      <c r="LWO207" s="1315"/>
      <c r="LWP207" s="1315"/>
      <c r="LWQ207" s="1318"/>
      <c r="LWS207" s="1320"/>
      <c r="LWT207" s="1320"/>
      <c r="LWU207" s="1318"/>
      <c r="LWV207" s="1318"/>
      <c r="LXB207" s="1313"/>
      <c r="LXC207" s="1314"/>
      <c r="LXD207" s="1313"/>
      <c r="LXE207" s="1315"/>
      <c r="LXF207" s="1316"/>
      <c r="LXG207" s="1317"/>
      <c r="LXH207" s="1316"/>
      <c r="LXI207" s="1316"/>
      <c r="LXJ207" s="1315"/>
      <c r="LXK207" s="1315"/>
      <c r="LXL207" s="1318"/>
      <c r="LXN207" s="1320"/>
      <c r="LXO207" s="1320"/>
      <c r="LXP207" s="1318"/>
      <c r="LXQ207" s="1318"/>
      <c r="LXW207" s="1313"/>
      <c r="LXX207" s="1314"/>
      <c r="LXY207" s="1313"/>
      <c r="LXZ207" s="1315"/>
      <c r="LYA207" s="1316"/>
      <c r="LYB207" s="1317"/>
      <c r="LYC207" s="1316"/>
      <c r="LYD207" s="1316"/>
      <c r="LYE207" s="1315"/>
      <c r="LYF207" s="1315"/>
      <c r="LYG207" s="1318"/>
      <c r="LYI207" s="1320"/>
      <c r="LYJ207" s="1320"/>
      <c r="LYK207" s="1318"/>
      <c r="LYL207" s="1318"/>
      <c r="LYR207" s="1313"/>
      <c r="LYS207" s="1314"/>
      <c r="LYT207" s="1313"/>
      <c r="LYU207" s="1315"/>
      <c r="LYV207" s="1316"/>
      <c r="LYW207" s="1317"/>
      <c r="LYX207" s="1316"/>
      <c r="LYY207" s="1316"/>
      <c r="LYZ207" s="1315"/>
      <c r="LZA207" s="1315"/>
      <c r="LZB207" s="1318"/>
      <c r="LZD207" s="1320"/>
      <c r="LZE207" s="1320"/>
      <c r="LZF207" s="1318"/>
      <c r="LZG207" s="1318"/>
      <c r="LZM207" s="1313"/>
      <c r="LZN207" s="1314"/>
      <c r="LZO207" s="1313"/>
      <c r="LZP207" s="1315"/>
      <c r="LZQ207" s="1316"/>
      <c r="LZR207" s="1317"/>
      <c r="LZS207" s="1316"/>
      <c r="LZT207" s="1316"/>
      <c r="LZU207" s="1315"/>
      <c r="LZV207" s="1315"/>
      <c r="LZW207" s="1318"/>
      <c r="LZY207" s="1320"/>
      <c r="LZZ207" s="1320"/>
      <c r="MAA207" s="1318"/>
      <c r="MAB207" s="1318"/>
      <c r="MAH207" s="1313"/>
      <c r="MAI207" s="1314"/>
      <c r="MAJ207" s="1313"/>
      <c r="MAK207" s="1315"/>
      <c r="MAL207" s="1316"/>
      <c r="MAM207" s="1317"/>
      <c r="MAN207" s="1316"/>
      <c r="MAO207" s="1316"/>
      <c r="MAP207" s="1315"/>
      <c r="MAQ207" s="1315"/>
      <c r="MAR207" s="1318"/>
      <c r="MAT207" s="1320"/>
      <c r="MAU207" s="1320"/>
      <c r="MAV207" s="1318"/>
      <c r="MAW207" s="1318"/>
      <c r="MBC207" s="1313"/>
      <c r="MBD207" s="1314"/>
      <c r="MBE207" s="1313"/>
      <c r="MBF207" s="1315"/>
      <c r="MBG207" s="1316"/>
      <c r="MBH207" s="1317"/>
      <c r="MBI207" s="1316"/>
      <c r="MBJ207" s="1316"/>
      <c r="MBK207" s="1315"/>
      <c r="MBL207" s="1315"/>
      <c r="MBM207" s="1318"/>
      <c r="MBO207" s="1320"/>
      <c r="MBP207" s="1320"/>
      <c r="MBQ207" s="1318"/>
      <c r="MBR207" s="1318"/>
      <c r="MBX207" s="1313"/>
      <c r="MBY207" s="1314"/>
      <c r="MBZ207" s="1313"/>
      <c r="MCA207" s="1315"/>
      <c r="MCB207" s="1316"/>
      <c r="MCC207" s="1317"/>
      <c r="MCD207" s="1316"/>
      <c r="MCE207" s="1316"/>
      <c r="MCF207" s="1315"/>
      <c r="MCG207" s="1315"/>
      <c r="MCH207" s="1318"/>
      <c r="MCJ207" s="1320"/>
      <c r="MCK207" s="1320"/>
      <c r="MCL207" s="1318"/>
      <c r="MCM207" s="1318"/>
      <c r="MCS207" s="1313"/>
      <c r="MCT207" s="1314"/>
      <c r="MCU207" s="1313"/>
      <c r="MCV207" s="1315"/>
      <c r="MCW207" s="1316"/>
      <c r="MCX207" s="1317"/>
      <c r="MCY207" s="1316"/>
      <c r="MCZ207" s="1316"/>
      <c r="MDA207" s="1315"/>
      <c r="MDB207" s="1315"/>
      <c r="MDC207" s="1318"/>
      <c r="MDE207" s="1320"/>
      <c r="MDF207" s="1320"/>
      <c r="MDG207" s="1318"/>
      <c r="MDH207" s="1318"/>
      <c r="MDN207" s="1313"/>
      <c r="MDO207" s="1314"/>
      <c r="MDP207" s="1313"/>
      <c r="MDQ207" s="1315"/>
      <c r="MDR207" s="1316"/>
      <c r="MDS207" s="1317"/>
      <c r="MDT207" s="1316"/>
      <c r="MDU207" s="1316"/>
      <c r="MDV207" s="1315"/>
      <c r="MDW207" s="1315"/>
      <c r="MDX207" s="1318"/>
      <c r="MDZ207" s="1320"/>
      <c r="MEA207" s="1320"/>
      <c r="MEB207" s="1318"/>
      <c r="MEC207" s="1318"/>
      <c r="MEI207" s="1313"/>
      <c r="MEJ207" s="1314"/>
      <c r="MEK207" s="1313"/>
      <c r="MEL207" s="1315"/>
      <c r="MEM207" s="1316"/>
      <c r="MEN207" s="1317"/>
      <c r="MEO207" s="1316"/>
      <c r="MEP207" s="1316"/>
      <c r="MEQ207" s="1315"/>
      <c r="MER207" s="1315"/>
      <c r="MES207" s="1318"/>
      <c r="MEU207" s="1320"/>
      <c r="MEV207" s="1320"/>
      <c r="MEW207" s="1318"/>
      <c r="MEX207" s="1318"/>
      <c r="MFD207" s="1313"/>
      <c r="MFE207" s="1314"/>
      <c r="MFF207" s="1313"/>
      <c r="MFG207" s="1315"/>
      <c r="MFH207" s="1316"/>
      <c r="MFI207" s="1317"/>
      <c r="MFJ207" s="1316"/>
      <c r="MFK207" s="1316"/>
      <c r="MFL207" s="1315"/>
      <c r="MFM207" s="1315"/>
      <c r="MFN207" s="1318"/>
      <c r="MFP207" s="1320"/>
      <c r="MFQ207" s="1320"/>
      <c r="MFR207" s="1318"/>
      <c r="MFS207" s="1318"/>
      <c r="MFY207" s="1313"/>
      <c r="MFZ207" s="1314"/>
      <c r="MGA207" s="1313"/>
      <c r="MGB207" s="1315"/>
      <c r="MGC207" s="1316"/>
      <c r="MGD207" s="1317"/>
      <c r="MGE207" s="1316"/>
      <c r="MGF207" s="1316"/>
      <c r="MGG207" s="1315"/>
      <c r="MGH207" s="1315"/>
      <c r="MGI207" s="1318"/>
      <c r="MGK207" s="1320"/>
      <c r="MGL207" s="1320"/>
      <c r="MGM207" s="1318"/>
      <c r="MGN207" s="1318"/>
      <c r="MGT207" s="1313"/>
      <c r="MGU207" s="1314"/>
      <c r="MGV207" s="1313"/>
      <c r="MGW207" s="1315"/>
      <c r="MGX207" s="1316"/>
      <c r="MGY207" s="1317"/>
      <c r="MGZ207" s="1316"/>
      <c r="MHA207" s="1316"/>
      <c r="MHB207" s="1315"/>
      <c r="MHC207" s="1315"/>
      <c r="MHD207" s="1318"/>
      <c r="MHF207" s="1320"/>
      <c r="MHG207" s="1320"/>
      <c r="MHH207" s="1318"/>
      <c r="MHI207" s="1318"/>
      <c r="MHO207" s="1313"/>
      <c r="MHP207" s="1314"/>
      <c r="MHQ207" s="1313"/>
      <c r="MHR207" s="1315"/>
      <c r="MHS207" s="1316"/>
      <c r="MHT207" s="1317"/>
      <c r="MHU207" s="1316"/>
      <c r="MHV207" s="1316"/>
      <c r="MHW207" s="1315"/>
      <c r="MHX207" s="1315"/>
      <c r="MHY207" s="1318"/>
      <c r="MIA207" s="1320"/>
      <c r="MIB207" s="1320"/>
      <c r="MIC207" s="1318"/>
      <c r="MID207" s="1318"/>
      <c r="MIJ207" s="1313"/>
      <c r="MIK207" s="1314"/>
      <c r="MIL207" s="1313"/>
      <c r="MIM207" s="1315"/>
      <c r="MIN207" s="1316"/>
      <c r="MIO207" s="1317"/>
      <c r="MIP207" s="1316"/>
      <c r="MIQ207" s="1316"/>
      <c r="MIR207" s="1315"/>
      <c r="MIS207" s="1315"/>
      <c r="MIT207" s="1318"/>
      <c r="MIV207" s="1320"/>
      <c r="MIW207" s="1320"/>
      <c r="MIX207" s="1318"/>
      <c r="MIY207" s="1318"/>
      <c r="MJE207" s="1313"/>
      <c r="MJF207" s="1314"/>
      <c r="MJG207" s="1313"/>
      <c r="MJH207" s="1315"/>
      <c r="MJI207" s="1316"/>
      <c r="MJJ207" s="1317"/>
      <c r="MJK207" s="1316"/>
      <c r="MJL207" s="1316"/>
      <c r="MJM207" s="1315"/>
      <c r="MJN207" s="1315"/>
      <c r="MJO207" s="1318"/>
      <c r="MJQ207" s="1320"/>
      <c r="MJR207" s="1320"/>
      <c r="MJS207" s="1318"/>
      <c r="MJT207" s="1318"/>
      <c r="MJZ207" s="1313"/>
      <c r="MKA207" s="1314"/>
      <c r="MKB207" s="1313"/>
      <c r="MKC207" s="1315"/>
      <c r="MKD207" s="1316"/>
      <c r="MKE207" s="1317"/>
      <c r="MKF207" s="1316"/>
      <c r="MKG207" s="1316"/>
      <c r="MKH207" s="1315"/>
      <c r="MKI207" s="1315"/>
      <c r="MKJ207" s="1318"/>
      <c r="MKL207" s="1320"/>
      <c r="MKM207" s="1320"/>
      <c r="MKN207" s="1318"/>
      <c r="MKO207" s="1318"/>
      <c r="MKU207" s="1313"/>
      <c r="MKV207" s="1314"/>
      <c r="MKW207" s="1313"/>
      <c r="MKX207" s="1315"/>
      <c r="MKY207" s="1316"/>
      <c r="MKZ207" s="1317"/>
      <c r="MLA207" s="1316"/>
      <c r="MLB207" s="1316"/>
      <c r="MLC207" s="1315"/>
      <c r="MLD207" s="1315"/>
      <c r="MLE207" s="1318"/>
      <c r="MLG207" s="1320"/>
      <c r="MLH207" s="1320"/>
      <c r="MLI207" s="1318"/>
      <c r="MLJ207" s="1318"/>
      <c r="MLP207" s="1313"/>
      <c r="MLQ207" s="1314"/>
      <c r="MLR207" s="1313"/>
      <c r="MLS207" s="1315"/>
      <c r="MLT207" s="1316"/>
      <c r="MLU207" s="1317"/>
      <c r="MLV207" s="1316"/>
      <c r="MLW207" s="1316"/>
      <c r="MLX207" s="1315"/>
      <c r="MLY207" s="1315"/>
      <c r="MLZ207" s="1318"/>
      <c r="MMB207" s="1320"/>
      <c r="MMC207" s="1320"/>
      <c r="MMD207" s="1318"/>
      <c r="MME207" s="1318"/>
      <c r="MMK207" s="1313"/>
      <c r="MML207" s="1314"/>
      <c r="MMM207" s="1313"/>
      <c r="MMN207" s="1315"/>
      <c r="MMO207" s="1316"/>
      <c r="MMP207" s="1317"/>
      <c r="MMQ207" s="1316"/>
      <c r="MMR207" s="1316"/>
      <c r="MMS207" s="1315"/>
      <c r="MMT207" s="1315"/>
      <c r="MMU207" s="1318"/>
      <c r="MMW207" s="1320"/>
      <c r="MMX207" s="1320"/>
      <c r="MMY207" s="1318"/>
      <c r="MMZ207" s="1318"/>
      <c r="MNF207" s="1313"/>
      <c r="MNG207" s="1314"/>
      <c r="MNH207" s="1313"/>
      <c r="MNI207" s="1315"/>
      <c r="MNJ207" s="1316"/>
      <c r="MNK207" s="1317"/>
      <c r="MNL207" s="1316"/>
      <c r="MNM207" s="1316"/>
      <c r="MNN207" s="1315"/>
      <c r="MNO207" s="1315"/>
      <c r="MNP207" s="1318"/>
      <c r="MNR207" s="1320"/>
      <c r="MNS207" s="1320"/>
      <c r="MNT207" s="1318"/>
      <c r="MNU207" s="1318"/>
      <c r="MOA207" s="1313"/>
      <c r="MOB207" s="1314"/>
      <c r="MOC207" s="1313"/>
      <c r="MOD207" s="1315"/>
      <c r="MOE207" s="1316"/>
      <c r="MOF207" s="1317"/>
      <c r="MOG207" s="1316"/>
      <c r="MOH207" s="1316"/>
      <c r="MOI207" s="1315"/>
      <c r="MOJ207" s="1315"/>
      <c r="MOK207" s="1318"/>
      <c r="MOM207" s="1320"/>
      <c r="MON207" s="1320"/>
      <c r="MOO207" s="1318"/>
      <c r="MOP207" s="1318"/>
      <c r="MOV207" s="1313"/>
      <c r="MOW207" s="1314"/>
      <c r="MOX207" s="1313"/>
      <c r="MOY207" s="1315"/>
      <c r="MOZ207" s="1316"/>
      <c r="MPA207" s="1317"/>
      <c r="MPB207" s="1316"/>
      <c r="MPC207" s="1316"/>
      <c r="MPD207" s="1315"/>
      <c r="MPE207" s="1315"/>
      <c r="MPF207" s="1318"/>
      <c r="MPH207" s="1320"/>
      <c r="MPI207" s="1320"/>
      <c r="MPJ207" s="1318"/>
      <c r="MPK207" s="1318"/>
      <c r="MPQ207" s="1313"/>
      <c r="MPR207" s="1314"/>
      <c r="MPS207" s="1313"/>
      <c r="MPT207" s="1315"/>
      <c r="MPU207" s="1316"/>
      <c r="MPV207" s="1317"/>
      <c r="MPW207" s="1316"/>
      <c r="MPX207" s="1316"/>
      <c r="MPY207" s="1315"/>
      <c r="MPZ207" s="1315"/>
      <c r="MQA207" s="1318"/>
      <c r="MQC207" s="1320"/>
      <c r="MQD207" s="1320"/>
      <c r="MQE207" s="1318"/>
      <c r="MQF207" s="1318"/>
      <c r="MQL207" s="1313"/>
      <c r="MQM207" s="1314"/>
      <c r="MQN207" s="1313"/>
      <c r="MQO207" s="1315"/>
      <c r="MQP207" s="1316"/>
      <c r="MQQ207" s="1317"/>
      <c r="MQR207" s="1316"/>
      <c r="MQS207" s="1316"/>
      <c r="MQT207" s="1315"/>
      <c r="MQU207" s="1315"/>
      <c r="MQV207" s="1318"/>
      <c r="MQX207" s="1320"/>
      <c r="MQY207" s="1320"/>
      <c r="MQZ207" s="1318"/>
      <c r="MRA207" s="1318"/>
      <c r="MRG207" s="1313"/>
      <c r="MRH207" s="1314"/>
      <c r="MRI207" s="1313"/>
      <c r="MRJ207" s="1315"/>
      <c r="MRK207" s="1316"/>
      <c r="MRL207" s="1317"/>
      <c r="MRM207" s="1316"/>
      <c r="MRN207" s="1316"/>
      <c r="MRO207" s="1315"/>
      <c r="MRP207" s="1315"/>
      <c r="MRQ207" s="1318"/>
      <c r="MRS207" s="1320"/>
      <c r="MRT207" s="1320"/>
      <c r="MRU207" s="1318"/>
      <c r="MRV207" s="1318"/>
      <c r="MSB207" s="1313"/>
      <c r="MSC207" s="1314"/>
      <c r="MSD207" s="1313"/>
      <c r="MSE207" s="1315"/>
      <c r="MSF207" s="1316"/>
      <c r="MSG207" s="1317"/>
      <c r="MSH207" s="1316"/>
      <c r="MSI207" s="1316"/>
      <c r="MSJ207" s="1315"/>
      <c r="MSK207" s="1315"/>
      <c r="MSL207" s="1318"/>
      <c r="MSN207" s="1320"/>
      <c r="MSO207" s="1320"/>
      <c r="MSP207" s="1318"/>
      <c r="MSQ207" s="1318"/>
      <c r="MSW207" s="1313"/>
      <c r="MSX207" s="1314"/>
      <c r="MSY207" s="1313"/>
      <c r="MSZ207" s="1315"/>
      <c r="MTA207" s="1316"/>
      <c r="MTB207" s="1317"/>
      <c r="MTC207" s="1316"/>
      <c r="MTD207" s="1316"/>
      <c r="MTE207" s="1315"/>
      <c r="MTF207" s="1315"/>
      <c r="MTG207" s="1318"/>
      <c r="MTI207" s="1320"/>
      <c r="MTJ207" s="1320"/>
      <c r="MTK207" s="1318"/>
      <c r="MTL207" s="1318"/>
      <c r="MTR207" s="1313"/>
      <c r="MTS207" s="1314"/>
      <c r="MTT207" s="1313"/>
      <c r="MTU207" s="1315"/>
      <c r="MTV207" s="1316"/>
      <c r="MTW207" s="1317"/>
      <c r="MTX207" s="1316"/>
      <c r="MTY207" s="1316"/>
      <c r="MTZ207" s="1315"/>
      <c r="MUA207" s="1315"/>
      <c r="MUB207" s="1318"/>
      <c r="MUD207" s="1320"/>
      <c r="MUE207" s="1320"/>
      <c r="MUF207" s="1318"/>
      <c r="MUG207" s="1318"/>
      <c r="MUM207" s="1313"/>
      <c r="MUN207" s="1314"/>
      <c r="MUO207" s="1313"/>
      <c r="MUP207" s="1315"/>
      <c r="MUQ207" s="1316"/>
      <c r="MUR207" s="1317"/>
      <c r="MUS207" s="1316"/>
      <c r="MUT207" s="1316"/>
      <c r="MUU207" s="1315"/>
      <c r="MUV207" s="1315"/>
      <c r="MUW207" s="1318"/>
      <c r="MUY207" s="1320"/>
      <c r="MUZ207" s="1320"/>
      <c r="MVA207" s="1318"/>
      <c r="MVB207" s="1318"/>
      <c r="MVH207" s="1313"/>
      <c r="MVI207" s="1314"/>
      <c r="MVJ207" s="1313"/>
      <c r="MVK207" s="1315"/>
      <c r="MVL207" s="1316"/>
      <c r="MVM207" s="1317"/>
      <c r="MVN207" s="1316"/>
      <c r="MVO207" s="1316"/>
      <c r="MVP207" s="1315"/>
      <c r="MVQ207" s="1315"/>
      <c r="MVR207" s="1318"/>
      <c r="MVT207" s="1320"/>
      <c r="MVU207" s="1320"/>
      <c r="MVV207" s="1318"/>
      <c r="MVW207" s="1318"/>
      <c r="MWC207" s="1313"/>
      <c r="MWD207" s="1314"/>
      <c r="MWE207" s="1313"/>
      <c r="MWF207" s="1315"/>
      <c r="MWG207" s="1316"/>
      <c r="MWH207" s="1317"/>
      <c r="MWI207" s="1316"/>
      <c r="MWJ207" s="1316"/>
      <c r="MWK207" s="1315"/>
      <c r="MWL207" s="1315"/>
      <c r="MWM207" s="1318"/>
      <c r="MWO207" s="1320"/>
      <c r="MWP207" s="1320"/>
      <c r="MWQ207" s="1318"/>
      <c r="MWR207" s="1318"/>
      <c r="MWX207" s="1313"/>
      <c r="MWY207" s="1314"/>
      <c r="MWZ207" s="1313"/>
      <c r="MXA207" s="1315"/>
      <c r="MXB207" s="1316"/>
      <c r="MXC207" s="1317"/>
      <c r="MXD207" s="1316"/>
      <c r="MXE207" s="1316"/>
      <c r="MXF207" s="1315"/>
      <c r="MXG207" s="1315"/>
      <c r="MXH207" s="1318"/>
      <c r="MXJ207" s="1320"/>
      <c r="MXK207" s="1320"/>
      <c r="MXL207" s="1318"/>
      <c r="MXM207" s="1318"/>
      <c r="MXS207" s="1313"/>
      <c r="MXT207" s="1314"/>
      <c r="MXU207" s="1313"/>
      <c r="MXV207" s="1315"/>
      <c r="MXW207" s="1316"/>
      <c r="MXX207" s="1317"/>
      <c r="MXY207" s="1316"/>
      <c r="MXZ207" s="1316"/>
      <c r="MYA207" s="1315"/>
      <c r="MYB207" s="1315"/>
      <c r="MYC207" s="1318"/>
      <c r="MYE207" s="1320"/>
      <c r="MYF207" s="1320"/>
      <c r="MYG207" s="1318"/>
      <c r="MYH207" s="1318"/>
      <c r="MYN207" s="1313"/>
      <c r="MYO207" s="1314"/>
      <c r="MYP207" s="1313"/>
      <c r="MYQ207" s="1315"/>
      <c r="MYR207" s="1316"/>
      <c r="MYS207" s="1317"/>
      <c r="MYT207" s="1316"/>
      <c r="MYU207" s="1316"/>
      <c r="MYV207" s="1315"/>
      <c r="MYW207" s="1315"/>
      <c r="MYX207" s="1318"/>
      <c r="MYZ207" s="1320"/>
      <c r="MZA207" s="1320"/>
      <c r="MZB207" s="1318"/>
      <c r="MZC207" s="1318"/>
      <c r="MZI207" s="1313"/>
      <c r="MZJ207" s="1314"/>
      <c r="MZK207" s="1313"/>
      <c r="MZL207" s="1315"/>
      <c r="MZM207" s="1316"/>
      <c r="MZN207" s="1317"/>
      <c r="MZO207" s="1316"/>
      <c r="MZP207" s="1316"/>
      <c r="MZQ207" s="1315"/>
      <c r="MZR207" s="1315"/>
      <c r="MZS207" s="1318"/>
      <c r="MZU207" s="1320"/>
      <c r="MZV207" s="1320"/>
      <c r="MZW207" s="1318"/>
      <c r="MZX207" s="1318"/>
      <c r="NAD207" s="1313"/>
      <c r="NAE207" s="1314"/>
      <c r="NAF207" s="1313"/>
      <c r="NAG207" s="1315"/>
      <c r="NAH207" s="1316"/>
      <c r="NAI207" s="1317"/>
      <c r="NAJ207" s="1316"/>
      <c r="NAK207" s="1316"/>
      <c r="NAL207" s="1315"/>
      <c r="NAM207" s="1315"/>
      <c r="NAN207" s="1318"/>
      <c r="NAP207" s="1320"/>
      <c r="NAQ207" s="1320"/>
      <c r="NAR207" s="1318"/>
      <c r="NAS207" s="1318"/>
      <c r="NAY207" s="1313"/>
      <c r="NAZ207" s="1314"/>
      <c r="NBA207" s="1313"/>
      <c r="NBB207" s="1315"/>
      <c r="NBC207" s="1316"/>
      <c r="NBD207" s="1317"/>
      <c r="NBE207" s="1316"/>
      <c r="NBF207" s="1316"/>
      <c r="NBG207" s="1315"/>
      <c r="NBH207" s="1315"/>
      <c r="NBI207" s="1318"/>
      <c r="NBK207" s="1320"/>
      <c r="NBL207" s="1320"/>
      <c r="NBM207" s="1318"/>
      <c r="NBN207" s="1318"/>
      <c r="NBT207" s="1313"/>
      <c r="NBU207" s="1314"/>
      <c r="NBV207" s="1313"/>
      <c r="NBW207" s="1315"/>
      <c r="NBX207" s="1316"/>
      <c r="NBY207" s="1317"/>
      <c r="NBZ207" s="1316"/>
      <c r="NCA207" s="1316"/>
      <c r="NCB207" s="1315"/>
      <c r="NCC207" s="1315"/>
      <c r="NCD207" s="1318"/>
      <c r="NCF207" s="1320"/>
      <c r="NCG207" s="1320"/>
      <c r="NCH207" s="1318"/>
      <c r="NCI207" s="1318"/>
      <c r="NCO207" s="1313"/>
      <c r="NCP207" s="1314"/>
      <c r="NCQ207" s="1313"/>
      <c r="NCR207" s="1315"/>
      <c r="NCS207" s="1316"/>
      <c r="NCT207" s="1317"/>
      <c r="NCU207" s="1316"/>
      <c r="NCV207" s="1316"/>
      <c r="NCW207" s="1315"/>
      <c r="NCX207" s="1315"/>
      <c r="NCY207" s="1318"/>
      <c r="NDA207" s="1320"/>
      <c r="NDB207" s="1320"/>
      <c r="NDC207" s="1318"/>
      <c r="NDD207" s="1318"/>
      <c r="NDJ207" s="1313"/>
      <c r="NDK207" s="1314"/>
      <c r="NDL207" s="1313"/>
      <c r="NDM207" s="1315"/>
      <c r="NDN207" s="1316"/>
      <c r="NDO207" s="1317"/>
      <c r="NDP207" s="1316"/>
      <c r="NDQ207" s="1316"/>
      <c r="NDR207" s="1315"/>
      <c r="NDS207" s="1315"/>
      <c r="NDT207" s="1318"/>
      <c r="NDV207" s="1320"/>
      <c r="NDW207" s="1320"/>
      <c r="NDX207" s="1318"/>
      <c r="NDY207" s="1318"/>
      <c r="NEE207" s="1313"/>
      <c r="NEF207" s="1314"/>
      <c r="NEG207" s="1313"/>
      <c r="NEH207" s="1315"/>
      <c r="NEI207" s="1316"/>
      <c r="NEJ207" s="1317"/>
      <c r="NEK207" s="1316"/>
      <c r="NEL207" s="1316"/>
      <c r="NEM207" s="1315"/>
      <c r="NEN207" s="1315"/>
      <c r="NEO207" s="1318"/>
      <c r="NEQ207" s="1320"/>
      <c r="NER207" s="1320"/>
      <c r="NES207" s="1318"/>
      <c r="NET207" s="1318"/>
      <c r="NEZ207" s="1313"/>
      <c r="NFA207" s="1314"/>
      <c r="NFB207" s="1313"/>
      <c r="NFC207" s="1315"/>
      <c r="NFD207" s="1316"/>
      <c r="NFE207" s="1317"/>
      <c r="NFF207" s="1316"/>
      <c r="NFG207" s="1316"/>
      <c r="NFH207" s="1315"/>
      <c r="NFI207" s="1315"/>
      <c r="NFJ207" s="1318"/>
      <c r="NFL207" s="1320"/>
      <c r="NFM207" s="1320"/>
      <c r="NFN207" s="1318"/>
      <c r="NFO207" s="1318"/>
      <c r="NFU207" s="1313"/>
      <c r="NFV207" s="1314"/>
      <c r="NFW207" s="1313"/>
      <c r="NFX207" s="1315"/>
      <c r="NFY207" s="1316"/>
      <c r="NFZ207" s="1317"/>
      <c r="NGA207" s="1316"/>
      <c r="NGB207" s="1316"/>
      <c r="NGC207" s="1315"/>
      <c r="NGD207" s="1315"/>
      <c r="NGE207" s="1318"/>
      <c r="NGG207" s="1320"/>
      <c r="NGH207" s="1320"/>
      <c r="NGI207" s="1318"/>
      <c r="NGJ207" s="1318"/>
      <c r="NGP207" s="1313"/>
      <c r="NGQ207" s="1314"/>
      <c r="NGR207" s="1313"/>
      <c r="NGS207" s="1315"/>
      <c r="NGT207" s="1316"/>
      <c r="NGU207" s="1317"/>
      <c r="NGV207" s="1316"/>
      <c r="NGW207" s="1316"/>
      <c r="NGX207" s="1315"/>
      <c r="NGY207" s="1315"/>
      <c r="NGZ207" s="1318"/>
      <c r="NHB207" s="1320"/>
      <c r="NHC207" s="1320"/>
      <c r="NHD207" s="1318"/>
      <c r="NHE207" s="1318"/>
      <c r="NHK207" s="1313"/>
      <c r="NHL207" s="1314"/>
      <c r="NHM207" s="1313"/>
      <c r="NHN207" s="1315"/>
      <c r="NHO207" s="1316"/>
      <c r="NHP207" s="1317"/>
      <c r="NHQ207" s="1316"/>
      <c r="NHR207" s="1316"/>
      <c r="NHS207" s="1315"/>
      <c r="NHT207" s="1315"/>
      <c r="NHU207" s="1318"/>
      <c r="NHW207" s="1320"/>
      <c r="NHX207" s="1320"/>
      <c r="NHY207" s="1318"/>
      <c r="NHZ207" s="1318"/>
      <c r="NIF207" s="1313"/>
      <c r="NIG207" s="1314"/>
      <c r="NIH207" s="1313"/>
      <c r="NII207" s="1315"/>
      <c r="NIJ207" s="1316"/>
      <c r="NIK207" s="1317"/>
      <c r="NIL207" s="1316"/>
      <c r="NIM207" s="1316"/>
      <c r="NIN207" s="1315"/>
      <c r="NIO207" s="1315"/>
      <c r="NIP207" s="1318"/>
      <c r="NIR207" s="1320"/>
      <c r="NIS207" s="1320"/>
      <c r="NIT207" s="1318"/>
      <c r="NIU207" s="1318"/>
      <c r="NJA207" s="1313"/>
      <c r="NJB207" s="1314"/>
      <c r="NJC207" s="1313"/>
      <c r="NJD207" s="1315"/>
      <c r="NJE207" s="1316"/>
      <c r="NJF207" s="1317"/>
      <c r="NJG207" s="1316"/>
      <c r="NJH207" s="1316"/>
      <c r="NJI207" s="1315"/>
      <c r="NJJ207" s="1315"/>
      <c r="NJK207" s="1318"/>
      <c r="NJM207" s="1320"/>
      <c r="NJN207" s="1320"/>
      <c r="NJO207" s="1318"/>
      <c r="NJP207" s="1318"/>
      <c r="NJV207" s="1313"/>
      <c r="NJW207" s="1314"/>
      <c r="NJX207" s="1313"/>
      <c r="NJY207" s="1315"/>
      <c r="NJZ207" s="1316"/>
      <c r="NKA207" s="1317"/>
      <c r="NKB207" s="1316"/>
      <c r="NKC207" s="1316"/>
      <c r="NKD207" s="1315"/>
      <c r="NKE207" s="1315"/>
      <c r="NKF207" s="1318"/>
      <c r="NKH207" s="1320"/>
      <c r="NKI207" s="1320"/>
      <c r="NKJ207" s="1318"/>
      <c r="NKK207" s="1318"/>
      <c r="NKQ207" s="1313"/>
      <c r="NKR207" s="1314"/>
      <c r="NKS207" s="1313"/>
      <c r="NKT207" s="1315"/>
      <c r="NKU207" s="1316"/>
      <c r="NKV207" s="1317"/>
      <c r="NKW207" s="1316"/>
      <c r="NKX207" s="1316"/>
      <c r="NKY207" s="1315"/>
      <c r="NKZ207" s="1315"/>
      <c r="NLA207" s="1318"/>
      <c r="NLC207" s="1320"/>
      <c r="NLD207" s="1320"/>
      <c r="NLE207" s="1318"/>
      <c r="NLF207" s="1318"/>
      <c r="NLL207" s="1313"/>
      <c r="NLM207" s="1314"/>
      <c r="NLN207" s="1313"/>
      <c r="NLO207" s="1315"/>
      <c r="NLP207" s="1316"/>
      <c r="NLQ207" s="1317"/>
      <c r="NLR207" s="1316"/>
      <c r="NLS207" s="1316"/>
      <c r="NLT207" s="1315"/>
      <c r="NLU207" s="1315"/>
      <c r="NLV207" s="1318"/>
      <c r="NLX207" s="1320"/>
      <c r="NLY207" s="1320"/>
      <c r="NLZ207" s="1318"/>
      <c r="NMA207" s="1318"/>
      <c r="NMG207" s="1313"/>
      <c r="NMH207" s="1314"/>
      <c r="NMI207" s="1313"/>
      <c r="NMJ207" s="1315"/>
      <c r="NMK207" s="1316"/>
      <c r="NML207" s="1317"/>
      <c r="NMM207" s="1316"/>
      <c r="NMN207" s="1316"/>
      <c r="NMO207" s="1315"/>
      <c r="NMP207" s="1315"/>
      <c r="NMQ207" s="1318"/>
      <c r="NMS207" s="1320"/>
      <c r="NMT207" s="1320"/>
      <c r="NMU207" s="1318"/>
      <c r="NMV207" s="1318"/>
      <c r="NNB207" s="1313"/>
      <c r="NNC207" s="1314"/>
      <c r="NND207" s="1313"/>
      <c r="NNE207" s="1315"/>
      <c r="NNF207" s="1316"/>
      <c r="NNG207" s="1317"/>
      <c r="NNH207" s="1316"/>
      <c r="NNI207" s="1316"/>
      <c r="NNJ207" s="1315"/>
      <c r="NNK207" s="1315"/>
      <c r="NNL207" s="1318"/>
      <c r="NNN207" s="1320"/>
      <c r="NNO207" s="1320"/>
      <c r="NNP207" s="1318"/>
      <c r="NNQ207" s="1318"/>
      <c r="NNW207" s="1313"/>
      <c r="NNX207" s="1314"/>
      <c r="NNY207" s="1313"/>
      <c r="NNZ207" s="1315"/>
      <c r="NOA207" s="1316"/>
      <c r="NOB207" s="1317"/>
      <c r="NOC207" s="1316"/>
      <c r="NOD207" s="1316"/>
      <c r="NOE207" s="1315"/>
      <c r="NOF207" s="1315"/>
      <c r="NOG207" s="1318"/>
      <c r="NOI207" s="1320"/>
      <c r="NOJ207" s="1320"/>
      <c r="NOK207" s="1318"/>
      <c r="NOL207" s="1318"/>
      <c r="NOR207" s="1313"/>
      <c r="NOS207" s="1314"/>
      <c r="NOT207" s="1313"/>
      <c r="NOU207" s="1315"/>
      <c r="NOV207" s="1316"/>
      <c r="NOW207" s="1317"/>
      <c r="NOX207" s="1316"/>
      <c r="NOY207" s="1316"/>
      <c r="NOZ207" s="1315"/>
      <c r="NPA207" s="1315"/>
      <c r="NPB207" s="1318"/>
      <c r="NPD207" s="1320"/>
      <c r="NPE207" s="1320"/>
      <c r="NPF207" s="1318"/>
      <c r="NPG207" s="1318"/>
      <c r="NPM207" s="1313"/>
      <c r="NPN207" s="1314"/>
      <c r="NPO207" s="1313"/>
      <c r="NPP207" s="1315"/>
      <c r="NPQ207" s="1316"/>
      <c r="NPR207" s="1317"/>
      <c r="NPS207" s="1316"/>
      <c r="NPT207" s="1316"/>
      <c r="NPU207" s="1315"/>
      <c r="NPV207" s="1315"/>
      <c r="NPW207" s="1318"/>
      <c r="NPY207" s="1320"/>
      <c r="NPZ207" s="1320"/>
      <c r="NQA207" s="1318"/>
      <c r="NQB207" s="1318"/>
      <c r="NQH207" s="1313"/>
      <c r="NQI207" s="1314"/>
      <c r="NQJ207" s="1313"/>
      <c r="NQK207" s="1315"/>
      <c r="NQL207" s="1316"/>
      <c r="NQM207" s="1317"/>
      <c r="NQN207" s="1316"/>
      <c r="NQO207" s="1316"/>
      <c r="NQP207" s="1315"/>
      <c r="NQQ207" s="1315"/>
      <c r="NQR207" s="1318"/>
      <c r="NQT207" s="1320"/>
      <c r="NQU207" s="1320"/>
      <c r="NQV207" s="1318"/>
      <c r="NQW207" s="1318"/>
      <c r="NRC207" s="1313"/>
      <c r="NRD207" s="1314"/>
      <c r="NRE207" s="1313"/>
      <c r="NRF207" s="1315"/>
      <c r="NRG207" s="1316"/>
      <c r="NRH207" s="1317"/>
      <c r="NRI207" s="1316"/>
      <c r="NRJ207" s="1316"/>
      <c r="NRK207" s="1315"/>
      <c r="NRL207" s="1315"/>
      <c r="NRM207" s="1318"/>
      <c r="NRO207" s="1320"/>
      <c r="NRP207" s="1320"/>
      <c r="NRQ207" s="1318"/>
      <c r="NRR207" s="1318"/>
      <c r="NRX207" s="1313"/>
      <c r="NRY207" s="1314"/>
      <c r="NRZ207" s="1313"/>
      <c r="NSA207" s="1315"/>
      <c r="NSB207" s="1316"/>
      <c r="NSC207" s="1317"/>
      <c r="NSD207" s="1316"/>
      <c r="NSE207" s="1316"/>
      <c r="NSF207" s="1315"/>
      <c r="NSG207" s="1315"/>
      <c r="NSH207" s="1318"/>
      <c r="NSJ207" s="1320"/>
      <c r="NSK207" s="1320"/>
      <c r="NSL207" s="1318"/>
      <c r="NSM207" s="1318"/>
      <c r="NSS207" s="1313"/>
      <c r="NST207" s="1314"/>
      <c r="NSU207" s="1313"/>
      <c r="NSV207" s="1315"/>
      <c r="NSW207" s="1316"/>
      <c r="NSX207" s="1317"/>
      <c r="NSY207" s="1316"/>
      <c r="NSZ207" s="1316"/>
      <c r="NTA207" s="1315"/>
      <c r="NTB207" s="1315"/>
      <c r="NTC207" s="1318"/>
      <c r="NTE207" s="1320"/>
      <c r="NTF207" s="1320"/>
      <c r="NTG207" s="1318"/>
      <c r="NTH207" s="1318"/>
      <c r="NTN207" s="1313"/>
      <c r="NTO207" s="1314"/>
      <c r="NTP207" s="1313"/>
      <c r="NTQ207" s="1315"/>
      <c r="NTR207" s="1316"/>
      <c r="NTS207" s="1317"/>
      <c r="NTT207" s="1316"/>
      <c r="NTU207" s="1316"/>
      <c r="NTV207" s="1315"/>
      <c r="NTW207" s="1315"/>
      <c r="NTX207" s="1318"/>
      <c r="NTZ207" s="1320"/>
      <c r="NUA207" s="1320"/>
      <c r="NUB207" s="1318"/>
      <c r="NUC207" s="1318"/>
      <c r="NUI207" s="1313"/>
      <c r="NUJ207" s="1314"/>
      <c r="NUK207" s="1313"/>
      <c r="NUL207" s="1315"/>
      <c r="NUM207" s="1316"/>
      <c r="NUN207" s="1317"/>
      <c r="NUO207" s="1316"/>
      <c r="NUP207" s="1316"/>
      <c r="NUQ207" s="1315"/>
      <c r="NUR207" s="1315"/>
      <c r="NUS207" s="1318"/>
      <c r="NUU207" s="1320"/>
      <c r="NUV207" s="1320"/>
      <c r="NUW207" s="1318"/>
      <c r="NUX207" s="1318"/>
      <c r="NVD207" s="1313"/>
      <c r="NVE207" s="1314"/>
      <c r="NVF207" s="1313"/>
      <c r="NVG207" s="1315"/>
      <c r="NVH207" s="1316"/>
      <c r="NVI207" s="1317"/>
      <c r="NVJ207" s="1316"/>
      <c r="NVK207" s="1316"/>
      <c r="NVL207" s="1315"/>
      <c r="NVM207" s="1315"/>
      <c r="NVN207" s="1318"/>
      <c r="NVP207" s="1320"/>
      <c r="NVQ207" s="1320"/>
      <c r="NVR207" s="1318"/>
      <c r="NVS207" s="1318"/>
      <c r="NVY207" s="1313"/>
      <c r="NVZ207" s="1314"/>
      <c r="NWA207" s="1313"/>
      <c r="NWB207" s="1315"/>
      <c r="NWC207" s="1316"/>
      <c r="NWD207" s="1317"/>
      <c r="NWE207" s="1316"/>
      <c r="NWF207" s="1316"/>
      <c r="NWG207" s="1315"/>
      <c r="NWH207" s="1315"/>
      <c r="NWI207" s="1318"/>
      <c r="NWK207" s="1320"/>
      <c r="NWL207" s="1320"/>
      <c r="NWM207" s="1318"/>
      <c r="NWN207" s="1318"/>
      <c r="NWT207" s="1313"/>
      <c r="NWU207" s="1314"/>
      <c r="NWV207" s="1313"/>
      <c r="NWW207" s="1315"/>
      <c r="NWX207" s="1316"/>
      <c r="NWY207" s="1317"/>
      <c r="NWZ207" s="1316"/>
      <c r="NXA207" s="1316"/>
      <c r="NXB207" s="1315"/>
      <c r="NXC207" s="1315"/>
      <c r="NXD207" s="1318"/>
      <c r="NXF207" s="1320"/>
      <c r="NXG207" s="1320"/>
      <c r="NXH207" s="1318"/>
      <c r="NXI207" s="1318"/>
      <c r="NXO207" s="1313"/>
      <c r="NXP207" s="1314"/>
      <c r="NXQ207" s="1313"/>
      <c r="NXR207" s="1315"/>
      <c r="NXS207" s="1316"/>
      <c r="NXT207" s="1317"/>
      <c r="NXU207" s="1316"/>
      <c r="NXV207" s="1316"/>
      <c r="NXW207" s="1315"/>
      <c r="NXX207" s="1315"/>
      <c r="NXY207" s="1318"/>
      <c r="NYA207" s="1320"/>
      <c r="NYB207" s="1320"/>
      <c r="NYC207" s="1318"/>
      <c r="NYD207" s="1318"/>
      <c r="NYJ207" s="1313"/>
      <c r="NYK207" s="1314"/>
      <c r="NYL207" s="1313"/>
      <c r="NYM207" s="1315"/>
      <c r="NYN207" s="1316"/>
      <c r="NYO207" s="1317"/>
      <c r="NYP207" s="1316"/>
      <c r="NYQ207" s="1316"/>
      <c r="NYR207" s="1315"/>
      <c r="NYS207" s="1315"/>
      <c r="NYT207" s="1318"/>
      <c r="NYV207" s="1320"/>
      <c r="NYW207" s="1320"/>
      <c r="NYX207" s="1318"/>
      <c r="NYY207" s="1318"/>
      <c r="NZE207" s="1313"/>
      <c r="NZF207" s="1314"/>
      <c r="NZG207" s="1313"/>
      <c r="NZH207" s="1315"/>
      <c r="NZI207" s="1316"/>
      <c r="NZJ207" s="1317"/>
      <c r="NZK207" s="1316"/>
      <c r="NZL207" s="1316"/>
      <c r="NZM207" s="1315"/>
      <c r="NZN207" s="1315"/>
      <c r="NZO207" s="1318"/>
      <c r="NZQ207" s="1320"/>
      <c r="NZR207" s="1320"/>
      <c r="NZS207" s="1318"/>
      <c r="NZT207" s="1318"/>
      <c r="NZZ207" s="1313"/>
      <c r="OAA207" s="1314"/>
      <c r="OAB207" s="1313"/>
      <c r="OAC207" s="1315"/>
      <c r="OAD207" s="1316"/>
      <c r="OAE207" s="1317"/>
      <c r="OAF207" s="1316"/>
      <c r="OAG207" s="1316"/>
      <c r="OAH207" s="1315"/>
      <c r="OAI207" s="1315"/>
      <c r="OAJ207" s="1318"/>
      <c r="OAL207" s="1320"/>
      <c r="OAM207" s="1320"/>
      <c r="OAN207" s="1318"/>
      <c r="OAO207" s="1318"/>
      <c r="OAU207" s="1313"/>
      <c r="OAV207" s="1314"/>
      <c r="OAW207" s="1313"/>
      <c r="OAX207" s="1315"/>
      <c r="OAY207" s="1316"/>
      <c r="OAZ207" s="1317"/>
      <c r="OBA207" s="1316"/>
      <c r="OBB207" s="1316"/>
      <c r="OBC207" s="1315"/>
      <c r="OBD207" s="1315"/>
      <c r="OBE207" s="1318"/>
      <c r="OBG207" s="1320"/>
      <c r="OBH207" s="1320"/>
      <c r="OBI207" s="1318"/>
      <c r="OBJ207" s="1318"/>
      <c r="OBP207" s="1313"/>
      <c r="OBQ207" s="1314"/>
      <c r="OBR207" s="1313"/>
      <c r="OBS207" s="1315"/>
      <c r="OBT207" s="1316"/>
      <c r="OBU207" s="1317"/>
      <c r="OBV207" s="1316"/>
      <c r="OBW207" s="1316"/>
      <c r="OBX207" s="1315"/>
      <c r="OBY207" s="1315"/>
      <c r="OBZ207" s="1318"/>
      <c r="OCB207" s="1320"/>
      <c r="OCC207" s="1320"/>
      <c r="OCD207" s="1318"/>
      <c r="OCE207" s="1318"/>
      <c r="OCK207" s="1313"/>
      <c r="OCL207" s="1314"/>
      <c r="OCM207" s="1313"/>
      <c r="OCN207" s="1315"/>
      <c r="OCO207" s="1316"/>
      <c r="OCP207" s="1317"/>
      <c r="OCQ207" s="1316"/>
      <c r="OCR207" s="1316"/>
      <c r="OCS207" s="1315"/>
      <c r="OCT207" s="1315"/>
      <c r="OCU207" s="1318"/>
      <c r="OCW207" s="1320"/>
      <c r="OCX207" s="1320"/>
      <c r="OCY207" s="1318"/>
      <c r="OCZ207" s="1318"/>
      <c r="ODF207" s="1313"/>
      <c r="ODG207" s="1314"/>
      <c r="ODH207" s="1313"/>
      <c r="ODI207" s="1315"/>
      <c r="ODJ207" s="1316"/>
      <c r="ODK207" s="1317"/>
      <c r="ODL207" s="1316"/>
      <c r="ODM207" s="1316"/>
      <c r="ODN207" s="1315"/>
      <c r="ODO207" s="1315"/>
      <c r="ODP207" s="1318"/>
      <c r="ODR207" s="1320"/>
      <c r="ODS207" s="1320"/>
      <c r="ODT207" s="1318"/>
      <c r="ODU207" s="1318"/>
      <c r="OEA207" s="1313"/>
      <c r="OEB207" s="1314"/>
      <c r="OEC207" s="1313"/>
      <c r="OED207" s="1315"/>
      <c r="OEE207" s="1316"/>
      <c r="OEF207" s="1317"/>
      <c r="OEG207" s="1316"/>
      <c r="OEH207" s="1316"/>
      <c r="OEI207" s="1315"/>
      <c r="OEJ207" s="1315"/>
      <c r="OEK207" s="1318"/>
      <c r="OEM207" s="1320"/>
      <c r="OEN207" s="1320"/>
      <c r="OEO207" s="1318"/>
      <c r="OEP207" s="1318"/>
      <c r="OEV207" s="1313"/>
      <c r="OEW207" s="1314"/>
      <c r="OEX207" s="1313"/>
      <c r="OEY207" s="1315"/>
      <c r="OEZ207" s="1316"/>
      <c r="OFA207" s="1317"/>
      <c r="OFB207" s="1316"/>
      <c r="OFC207" s="1316"/>
      <c r="OFD207" s="1315"/>
      <c r="OFE207" s="1315"/>
      <c r="OFF207" s="1318"/>
      <c r="OFH207" s="1320"/>
      <c r="OFI207" s="1320"/>
      <c r="OFJ207" s="1318"/>
      <c r="OFK207" s="1318"/>
      <c r="OFQ207" s="1313"/>
      <c r="OFR207" s="1314"/>
      <c r="OFS207" s="1313"/>
      <c r="OFT207" s="1315"/>
      <c r="OFU207" s="1316"/>
      <c r="OFV207" s="1317"/>
      <c r="OFW207" s="1316"/>
      <c r="OFX207" s="1316"/>
      <c r="OFY207" s="1315"/>
      <c r="OFZ207" s="1315"/>
      <c r="OGA207" s="1318"/>
      <c r="OGC207" s="1320"/>
      <c r="OGD207" s="1320"/>
      <c r="OGE207" s="1318"/>
      <c r="OGF207" s="1318"/>
      <c r="OGL207" s="1313"/>
      <c r="OGM207" s="1314"/>
      <c r="OGN207" s="1313"/>
      <c r="OGO207" s="1315"/>
      <c r="OGP207" s="1316"/>
      <c r="OGQ207" s="1317"/>
      <c r="OGR207" s="1316"/>
      <c r="OGS207" s="1316"/>
      <c r="OGT207" s="1315"/>
      <c r="OGU207" s="1315"/>
      <c r="OGV207" s="1318"/>
      <c r="OGX207" s="1320"/>
      <c r="OGY207" s="1320"/>
      <c r="OGZ207" s="1318"/>
      <c r="OHA207" s="1318"/>
      <c r="OHG207" s="1313"/>
      <c r="OHH207" s="1314"/>
      <c r="OHI207" s="1313"/>
      <c r="OHJ207" s="1315"/>
      <c r="OHK207" s="1316"/>
      <c r="OHL207" s="1317"/>
      <c r="OHM207" s="1316"/>
      <c r="OHN207" s="1316"/>
      <c r="OHO207" s="1315"/>
      <c r="OHP207" s="1315"/>
      <c r="OHQ207" s="1318"/>
      <c r="OHS207" s="1320"/>
      <c r="OHT207" s="1320"/>
      <c r="OHU207" s="1318"/>
      <c r="OHV207" s="1318"/>
      <c r="OIB207" s="1313"/>
      <c r="OIC207" s="1314"/>
      <c r="OID207" s="1313"/>
      <c r="OIE207" s="1315"/>
      <c r="OIF207" s="1316"/>
      <c r="OIG207" s="1317"/>
      <c r="OIH207" s="1316"/>
      <c r="OII207" s="1316"/>
      <c r="OIJ207" s="1315"/>
      <c r="OIK207" s="1315"/>
      <c r="OIL207" s="1318"/>
      <c r="OIN207" s="1320"/>
      <c r="OIO207" s="1320"/>
      <c r="OIP207" s="1318"/>
      <c r="OIQ207" s="1318"/>
      <c r="OIW207" s="1313"/>
      <c r="OIX207" s="1314"/>
      <c r="OIY207" s="1313"/>
      <c r="OIZ207" s="1315"/>
      <c r="OJA207" s="1316"/>
      <c r="OJB207" s="1317"/>
      <c r="OJC207" s="1316"/>
      <c r="OJD207" s="1316"/>
      <c r="OJE207" s="1315"/>
      <c r="OJF207" s="1315"/>
      <c r="OJG207" s="1318"/>
      <c r="OJI207" s="1320"/>
      <c r="OJJ207" s="1320"/>
      <c r="OJK207" s="1318"/>
      <c r="OJL207" s="1318"/>
      <c r="OJR207" s="1313"/>
      <c r="OJS207" s="1314"/>
      <c r="OJT207" s="1313"/>
      <c r="OJU207" s="1315"/>
      <c r="OJV207" s="1316"/>
      <c r="OJW207" s="1317"/>
      <c r="OJX207" s="1316"/>
      <c r="OJY207" s="1316"/>
      <c r="OJZ207" s="1315"/>
      <c r="OKA207" s="1315"/>
      <c r="OKB207" s="1318"/>
      <c r="OKD207" s="1320"/>
      <c r="OKE207" s="1320"/>
      <c r="OKF207" s="1318"/>
      <c r="OKG207" s="1318"/>
      <c r="OKM207" s="1313"/>
      <c r="OKN207" s="1314"/>
      <c r="OKO207" s="1313"/>
      <c r="OKP207" s="1315"/>
      <c r="OKQ207" s="1316"/>
      <c r="OKR207" s="1317"/>
      <c r="OKS207" s="1316"/>
      <c r="OKT207" s="1316"/>
      <c r="OKU207" s="1315"/>
      <c r="OKV207" s="1315"/>
      <c r="OKW207" s="1318"/>
      <c r="OKY207" s="1320"/>
      <c r="OKZ207" s="1320"/>
      <c r="OLA207" s="1318"/>
      <c r="OLB207" s="1318"/>
      <c r="OLH207" s="1313"/>
      <c r="OLI207" s="1314"/>
      <c r="OLJ207" s="1313"/>
      <c r="OLK207" s="1315"/>
      <c r="OLL207" s="1316"/>
      <c r="OLM207" s="1317"/>
      <c r="OLN207" s="1316"/>
      <c r="OLO207" s="1316"/>
      <c r="OLP207" s="1315"/>
      <c r="OLQ207" s="1315"/>
      <c r="OLR207" s="1318"/>
      <c r="OLT207" s="1320"/>
      <c r="OLU207" s="1320"/>
      <c r="OLV207" s="1318"/>
      <c r="OLW207" s="1318"/>
      <c r="OMC207" s="1313"/>
      <c r="OMD207" s="1314"/>
      <c r="OME207" s="1313"/>
      <c r="OMF207" s="1315"/>
      <c r="OMG207" s="1316"/>
      <c r="OMH207" s="1317"/>
      <c r="OMI207" s="1316"/>
      <c r="OMJ207" s="1316"/>
      <c r="OMK207" s="1315"/>
      <c r="OML207" s="1315"/>
      <c r="OMM207" s="1318"/>
      <c r="OMO207" s="1320"/>
      <c r="OMP207" s="1320"/>
      <c r="OMQ207" s="1318"/>
      <c r="OMR207" s="1318"/>
      <c r="OMX207" s="1313"/>
      <c r="OMY207" s="1314"/>
      <c r="OMZ207" s="1313"/>
      <c r="ONA207" s="1315"/>
      <c r="ONB207" s="1316"/>
      <c r="ONC207" s="1317"/>
      <c r="OND207" s="1316"/>
      <c r="ONE207" s="1316"/>
      <c r="ONF207" s="1315"/>
      <c r="ONG207" s="1315"/>
      <c r="ONH207" s="1318"/>
      <c r="ONJ207" s="1320"/>
      <c r="ONK207" s="1320"/>
      <c r="ONL207" s="1318"/>
      <c r="ONM207" s="1318"/>
      <c r="ONS207" s="1313"/>
      <c r="ONT207" s="1314"/>
      <c r="ONU207" s="1313"/>
      <c r="ONV207" s="1315"/>
      <c r="ONW207" s="1316"/>
      <c r="ONX207" s="1317"/>
      <c r="ONY207" s="1316"/>
      <c r="ONZ207" s="1316"/>
      <c r="OOA207" s="1315"/>
      <c r="OOB207" s="1315"/>
      <c r="OOC207" s="1318"/>
      <c r="OOE207" s="1320"/>
      <c r="OOF207" s="1320"/>
      <c r="OOG207" s="1318"/>
      <c r="OOH207" s="1318"/>
      <c r="OON207" s="1313"/>
      <c r="OOO207" s="1314"/>
      <c r="OOP207" s="1313"/>
      <c r="OOQ207" s="1315"/>
      <c r="OOR207" s="1316"/>
      <c r="OOS207" s="1317"/>
      <c r="OOT207" s="1316"/>
      <c r="OOU207" s="1316"/>
      <c r="OOV207" s="1315"/>
      <c r="OOW207" s="1315"/>
      <c r="OOX207" s="1318"/>
      <c r="OOZ207" s="1320"/>
      <c r="OPA207" s="1320"/>
      <c r="OPB207" s="1318"/>
      <c r="OPC207" s="1318"/>
      <c r="OPI207" s="1313"/>
      <c r="OPJ207" s="1314"/>
      <c r="OPK207" s="1313"/>
      <c r="OPL207" s="1315"/>
      <c r="OPM207" s="1316"/>
      <c r="OPN207" s="1317"/>
      <c r="OPO207" s="1316"/>
      <c r="OPP207" s="1316"/>
      <c r="OPQ207" s="1315"/>
      <c r="OPR207" s="1315"/>
      <c r="OPS207" s="1318"/>
      <c r="OPU207" s="1320"/>
      <c r="OPV207" s="1320"/>
      <c r="OPW207" s="1318"/>
      <c r="OPX207" s="1318"/>
      <c r="OQD207" s="1313"/>
      <c r="OQE207" s="1314"/>
      <c r="OQF207" s="1313"/>
      <c r="OQG207" s="1315"/>
      <c r="OQH207" s="1316"/>
      <c r="OQI207" s="1317"/>
      <c r="OQJ207" s="1316"/>
      <c r="OQK207" s="1316"/>
      <c r="OQL207" s="1315"/>
      <c r="OQM207" s="1315"/>
      <c r="OQN207" s="1318"/>
      <c r="OQP207" s="1320"/>
      <c r="OQQ207" s="1320"/>
      <c r="OQR207" s="1318"/>
      <c r="OQS207" s="1318"/>
      <c r="OQY207" s="1313"/>
      <c r="OQZ207" s="1314"/>
      <c r="ORA207" s="1313"/>
      <c r="ORB207" s="1315"/>
      <c r="ORC207" s="1316"/>
      <c r="ORD207" s="1317"/>
      <c r="ORE207" s="1316"/>
      <c r="ORF207" s="1316"/>
      <c r="ORG207" s="1315"/>
      <c r="ORH207" s="1315"/>
      <c r="ORI207" s="1318"/>
      <c r="ORK207" s="1320"/>
      <c r="ORL207" s="1320"/>
      <c r="ORM207" s="1318"/>
      <c r="ORN207" s="1318"/>
      <c r="ORT207" s="1313"/>
      <c r="ORU207" s="1314"/>
      <c r="ORV207" s="1313"/>
      <c r="ORW207" s="1315"/>
      <c r="ORX207" s="1316"/>
      <c r="ORY207" s="1317"/>
      <c r="ORZ207" s="1316"/>
      <c r="OSA207" s="1316"/>
      <c r="OSB207" s="1315"/>
      <c r="OSC207" s="1315"/>
      <c r="OSD207" s="1318"/>
      <c r="OSF207" s="1320"/>
      <c r="OSG207" s="1320"/>
      <c r="OSH207" s="1318"/>
      <c r="OSI207" s="1318"/>
      <c r="OSO207" s="1313"/>
      <c r="OSP207" s="1314"/>
      <c r="OSQ207" s="1313"/>
      <c r="OSR207" s="1315"/>
      <c r="OSS207" s="1316"/>
      <c r="OST207" s="1317"/>
      <c r="OSU207" s="1316"/>
      <c r="OSV207" s="1316"/>
      <c r="OSW207" s="1315"/>
      <c r="OSX207" s="1315"/>
      <c r="OSY207" s="1318"/>
      <c r="OTA207" s="1320"/>
      <c r="OTB207" s="1320"/>
      <c r="OTC207" s="1318"/>
      <c r="OTD207" s="1318"/>
      <c r="OTJ207" s="1313"/>
      <c r="OTK207" s="1314"/>
      <c r="OTL207" s="1313"/>
      <c r="OTM207" s="1315"/>
      <c r="OTN207" s="1316"/>
      <c r="OTO207" s="1317"/>
      <c r="OTP207" s="1316"/>
      <c r="OTQ207" s="1316"/>
      <c r="OTR207" s="1315"/>
      <c r="OTS207" s="1315"/>
      <c r="OTT207" s="1318"/>
      <c r="OTV207" s="1320"/>
      <c r="OTW207" s="1320"/>
      <c r="OTX207" s="1318"/>
      <c r="OTY207" s="1318"/>
      <c r="OUE207" s="1313"/>
      <c r="OUF207" s="1314"/>
      <c r="OUG207" s="1313"/>
      <c r="OUH207" s="1315"/>
      <c r="OUI207" s="1316"/>
      <c r="OUJ207" s="1317"/>
      <c r="OUK207" s="1316"/>
      <c r="OUL207" s="1316"/>
      <c r="OUM207" s="1315"/>
      <c r="OUN207" s="1315"/>
      <c r="OUO207" s="1318"/>
      <c r="OUQ207" s="1320"/>
      <c r="OUR207" s="1320"/>
      <c r="OUS207" s="1318"/>
      <c r="OUT207" s="1318"/>
      <c r="OUZ207" s="1313"/>
      <c r="OVA207" s="1314"/>
      <c r="OVB207" s="1313"/>
      <c r="OVC207" s="1315"/>
      <c r="OVD207" s="1316"/>
      <c r="OVE207" s="1317"/>
      <c r="OVF207" s="1316"/>
      <c r="OVG207" s="1316"/>
      <c r="OVH207" s="1315"/>
      <c r="OVI207" s="1315"/>
      <c r="OVJ207" s="1318"/>
      <c r="OVL207" s="1320"/>
      <c r="OVM207" s="1320"/>
      <c r="OVN207" s="1318"/>
      <c r="OVO207" s="1318"/>
      <c r="OVU207" s="1313"/>
      <c r="OVV207" s="1314"/>
      <c r="OVW207" s="1313"/>
      <c r="OVX207" s="1315"/>
      <c r="OVY207" s="1316"/>
      <c r="OVZ207" s="1317"/>
      <c r="OWA207" s="1316"/>
      <c r="OWB207" s="1316"/>
      <c r="OWC207" s="1315"/>
      <c r="OWD207" s="1315"/>
      <c r="OWE207" s="1318"/>
      <c r="OWG207" s="1320"/>
      <c r="OWH207" s="1320"/>
      <c r="OWI207" s="1318"/>
      <c r="OWJ207" s="1318"/>
      <c r="OWP207" s="1313"/>
      <c r="OWQ207" s="1314"/>
      <c r="OWR207" s="1313"/>
      <c r="OWS207" s="1315"/>
      <c r="OWT207" s="1316"/>
      <c r="OWU207" s="1317"/>
      <c r="OWV207" s="1316"/>
      <c r="OWW207" s="1316"/>
      <c r="OWX207" s="1315"/>
      <c r="OWY207" s="1315"/>
      <c r="OWZ207" s="1318"/>
      <c r="OXB207" s="1320"/>
      <c r="OXC207" s="1320"/>
      <c r="OXD207" s="1318"/>
      <c r="OXE207" s="1318"/>
      <c r="OXK207" s="1313"/>
      <c r="OXL207" s="1314"/>
      <c r="OXM207" s="1313"/>
      <c r="OXN207" s="1315"/>
      <c r="OXO207" s="1316"/>
      <c r="OXP207" s="1317"/>
      <c r="OXQ207" s="1316"/>
      <c r="OXR207" s="1316"/>
      <c r="OXS207" s="1315"/>
      <c r="OXT207" s="1315"/>
      <c r="OXU207" s="1318"/>
      <c r="OXW207" s="1320"/>
      <c r="OXX207" s="1320"/>
      <c r="OXY207" s="1318"/>
      <c r="OXZ207" s="1318"/>
      <c r="OYF207" s="1313"/>
      <c r="OYG207" s="1314"/>
      <c r="OYH207" s="1313"/>
      <c r="OYI207" s="1315"/>
      <c r="OYJ207" s="1316"/>
      <c r="OYK207" s="1317"/>
      <c r="OYL207" s="1316"/>
      <c r="OYM207" s="1316"/>
      <c r="OYN207" s="1315"/>
      <c r="OYO207" s="1315"/>
      <c r="OYP207" s="1318"/>
      <c r="OYR207" s="1320"/>
      <c r="OYS207" s="1320"/>
      <c r="OYT207" s="1318"/>
      <c r="OYU207" s="1318"/>
      <c r="OZA207" s="1313"/>
      <c r="OZB207" s="1314"/>
      <c r="OZC207" s="1313"/>
      <c r="OZD207" s="1315"/>
      <c r="OZE207" s="1316"/>
      <c r="OZF207" s="1317"/>
      <c r="OZG207" s="1316"/>
      <c r="OZH207" s="1316"/>
      <c r="OZI207" s="1315"/>
      <c r="OZJ207" s="1315"/>
      <c r="OZK207" s="1318"/>
      <c r="OZM207" s="1320"/>
      <c r="OZN207" s="1320"/>
      <c r="OZO207" s="1318"/>
      <c r="OZP207" s="1318"/>
      <c r="OZV207" s="1313"/>
      <c r="OZW207" s="1314"/>
      <c r="OZX207" s="1313"/>
      <c r="OZY207" s="1315"/>
      <c r="OZZ207" s="1316"/>
      <c r="PAA207" s="1317"/>
      <c r="PAB207" s="1316"/>
      <c r="PAC207" s="1316"/>
      <c r="PAD207" s="1315"/>
      <c r="PAE207" s="1315"/>
      <c r="PAF207" s="1318"/>
      <c r="PAH207" s="1320"/>
      <c r="PAI207" s="1320"/>
      <c r="PAJ207" s="1318"/>
      <c r="PAK207" s="1318"/>
      <c r="PAQ207" s="1313"/>
      <c r="PAR207" s="1314"/>
      <c r="PAS207" s="1313"/>
      <c r="PAT207" s="1315"/>
      <c r="PAU207" s="1316"/>
      <c r="PAV207" s="1317"/>
      <c r="PAW207" s="1316"/>
      <c r="PAX207" s="1316"/>
      <c r="PAY207" s="1315"/>
      <c r="PAZ207" s="1315"/>
      <c r="PBA207" s="1318"/>
      <c r="PBC207" s="1320"/>
      <c r="PBD207" s="1320"/>
      <c r="PBE207" s="1318"/>
      <c r="PBF207" s="1318"/>
      <c r="PBL207" s="1313"/>
      <c r="PBM207" s="1314"/>
      <c r="PBN207" s="1313"/>
      <c r="PBO207" s="1315"/>
      <c r="PBP207" s="1316"/>
      <c r="PBQ207" s="1317"/>
      <c r="PBR207" s="1316"/>
      <c r="PBS207" s="1316"/>
      <c r="PBT207" s="1315"/>
      <c r="PBU207" s="1315"/>
      <c r="PBV207" s="1318"/>
      <c r="PBX207" s="1320"/>
      <c r="PBY207" s="1320"/>
      <c r="PBZ207" s="1318"/>
      <c r="PCA207" s="1318"/>
      <c r="PCG207" s="1313"/>
      <c r="PCH207" s="1314"/>
      <c r="PCI207" s="1313"/>
      <c r="PCJ207" s="1315"/>
      <c r="PCK207" s="1316"/>
      <c r="PCL207" s="1317"/>
      <c r="PCM207" s="1316"/>
      <c r="PCN207" s="1316"/>
      <c r="PCO207" s="1315"/>
      <c r="PCP207" s="1315"/>
      <c r="PCQ207" s="1318"/>
      <c r="PCS207" s="1320"/>
      <c r="PCT207" s="1320"/>
      <c r="PCU207" s="1318"/>
      <c r="PCV207" s="1318"/>
      <c r="PDB207" s="1313"/>
      <c r="PDC207" s="1314"/>
      <c r="PDD207" s="1313"/>
      <c r="PDE207" s="1315"/>
      <c r="PDF207" s="1316"/>
      <c r="PDG207" s="1317"/>
      <c r="PDH207" s="1316"/>
      <c r="PDI207" s="1316"/>
      <c r="PDJ207" s="1315"/>
      <c r="PDK207" s="1315"/>
      <c r="PDL207" s="1318"/>
      <c r="PDN207" s="1320"/>
      <c r="PDO207" s="1320"/>
      <c r="PDP207" s="1318"/>
      <c r="PDQ207" s="1318"/>
      <c r="PDW207" s="1313"/>
      <c r="PDX207" s="1314"/>
      <c r="PDY207" s="1313"/>
      <c r="PDZ207" s="1315"/>
      <c r="PEA207" s="1316"/>
      <c r="PEB207" s="1317"/>
      <c r="PEC207" s="1316"/>
      <c r="PED207" s="1316"/>
      <c r="PEE207" s="1315"/>
      <c r="PEF207" s="1315"/>
      <c r="PEG207" s="1318"/>
      <c r="PEI207" s="1320"/>
      <c r="PEJ207" s="1320"/>
      <c r="PEK207" s="1318"/>
      <c r="PEL207" s="1318"/>
      <c r="PER207" s="1313"/>
      <c r="PES207" s="1314"/>
      <c r="PET207" s="1313"/>
      <c r="PEU207" s="1315"/>
      <c r="PEV207" s="1316"/>
      <c r="PEW207" s="1317"/>
      <c r="PEX207" s="1316"/>
      <c r="PEY207" s="1316"/>
      <c r="PEZ207" s="1315"/>
      <c r="PFA207" s="1315"/>
      <c r="PFB207" s="1318"/>
      <c r="PFD207" s="1320"/>
      <c r="PFE207" s="1320"/>
      <c r="PFF207" s="1318"/>
      <c r="PFG207" s="1318"/>
      <c r="PFM207" s="1313"/>
      <c r="PFN207" s="1314"/>
      <c r="PFO207" s="1313"/>
      <c r="PFP207" s="1315"/>
      <c r="PFQ207" s="1316"/>
      <c r="PFR207" s="1317"/>
      <c r="PFS207" s="1316"/>
      <c r="PFT207" s="1316"/>
      <c r="PFU207" s="1315"/>
      <c r="PFV207" s="1315"/>
      <c r="PFW207" s="1318"/>
      <c r="PFY207" s="1320"/>
      <c r="PFZ207" s="1320"/>
      <c r="PGA207" s="1318"/>
      <c r="PGB207" s="1318"/>
      <c r="PGH207" s="1313"/>
      <c r="PGI207" s="1314"/>
      <c r="PGJ207" s="1313"/>
      <c r="PGK207" s="1315"/>
      <c r="PGL207" s="1316"/>
      <c r="PGM207" s="1317"/>
      <c r="PGN207" s="1316"/>
      <c r="PGO207" s="1316"/>
      <c r="PGP207" s="1315"/>
      <c r="PGQ207" s="1315"/>
      <c r="PGR207" s="1318"/>
      <c r="PGT207" s="1320"/>
      <c r="PGU207" s="1320"/>
      <c r="PGV207" s="1318"/>
      <c r="PGW207" s="1318"/>
      <c r="PHC207" s="1313"/>
      <c r="PHD207" s="1314"/>
      <c r="PHE207" s="1313"/>
      <c r="PHF207" s="1315"/>
      <c r="PHG207" s="1316"/>
      <c r="PHH207" s="1317"/>
      <c r="PHI207" s="1316"/>
      <c r="PHJ207" s="1316"/>
      <c r="PHK207" s="1315"/>
      <c r="PHL207" s="1315"/>
      <c r="PHM207" s="1318"/>
      <c r="PHO207" s="1320"/>
      <c r="PHP207" s="1320"/>
      <c r="PHQ207" s="1318"/>
      <c r="PHR207" s="1318"/>
      <c r="PHX207" s="1313"/>
      <c r="PHY207" s="1314"/>
      <c r="PHZ207" s="1313"/>
      <c r="PIA207" s="1315"/>
      <c r="PIB207" s="1316"/>
      <c r="PIC207" s="1317"/>
      <c r="PID207" s="1316"/>
      <c r="PIE207" s="1316"/>
      <c r="PIF207" s="1315"/>
      <c r="PIG207" s="1315"/>
      <c r="PIH207" s="1318"/>
      <c r="PIJ207" s="1320"/>
      <c r="PIK207" s="1320"/>
      <c r="PIL207" s="1318"/>
      <c r="PIM207" s="1318"/>
      <c r="PIS207" s="1313"/>
      <c r="PIT207" s="1314"/>
      <c r="PIU207" s="1313"/>
      <c r="PIV207" s="1315"/>
      <c r="PIW207" s="1316"/>
      <c r="PIX207" s="1317"/>
      <c r="PIY207" s="1316"/>
      <c r="PIZ207" s="1316"/>
      <c r="PJA207" s="1315"/>
      <c r="PJB207" s="1315"/>
      <c r="PJC207" s="1318"/>
      <c r="PJE207" s="1320"/>
      <c r="PJF207" s="1320"/>
      <c r="PJG207" s="1318"/>
      <c r="PJH207" s="1318"/>
      <c r="PJN207" s="1313"/>
      <c r="PJO207" s="1314"/>
      <c r="PJP207" s="1313"/>
      <c r="PJQ207" s="1315"/>
      <c r="PJR207" s="1316"/>
      <c r="PJS207" s="1317"/>
      <c r="PJT207" s="1316"/>
      <c r="PJU207" s="1316"/>
      <c r="PJV207" s="1315"/>
      <c r="PJW207" s="1315"/>
      <c r="PJX207" s="1318"/>
      <c r="PJZ207" s="1320"/>
      <c r="PKA207" s="1320"/>
      <c r="PKB207" s="1318"/>
      <c r="PKC207" s="1318"/>
      <c r="PKI207" s="1313"/>
      <c r="PKJ207" s="1314"/>
      <c r="PKK207" s="1313"/>
      <c r="PKL207" s="1315"/>
      <c r="PKM207" s="1316"/>
      <c r="PKN207" s="1317"/>
      <c r="PKO207" s="1316"/>
      <c r="PKP207" s="1316"/>
      <c r="PKQ207" s="1315"/>
      <c r="PKR207" s="1315"/>
      <c r="PKS207" s="1318"/>
      <c r="PKU207" s="1320"/>
      <c r="PKV207" s="1320"/>
      <c r="PKW207" s="1318"/>
      <c r="PKX207" s="1318"/>
      <c r="PLD207" s="1313"/>
      <c r="PLE207" s="1314"/>
      <c r="PLF207" s="1313"/>
      <c r="PLG207" s="1315"/>
      <c r="PLH207" s="1316"/>
      <c r="PLI207" s="1317"/>
      <c r="PLJ207" s="1316"/>
      <c r="PLK207" s="1316"/>
      <c r="PLL207" s="1315"/>
      <c r="PLM207" s="1315"/>
      <c r="PLN207" s="1318"/>
      <c r="PLP207" s="1320"/>
      <c r="PLQ207" s="1320"/>
      <c r="PLR207" s="1318"/>
      <c r="PLS207" s="1318"/>
      <c r="PLY207" s="1313"/>
      <c r="PLZ207" s="1314"/>
      <c r="PMA207" s="1313"/>
      <c r="PMB207" s="1315"/>
      <c r="PMC207" s="1316"/>
      <c r="PMD207" s="1317"/>
      <c r="PME207" s="1316"/>
      <c r="PMF207" s="1316"/>
      <c r="PMG207" s="1315"/>
      <c r="PMH207" s="1315"/>
      <c r="PMI207" s="1318"/>
      <c r="PMK207" s="1320"/>
      <c r="PML207" s="1320"/>
      <c r="PMM207" s="1318"/>
      <c r="PMN207" s="1318"/>
      <c r="PMT207" s="1313"/>
      <c r="PMU207" s="1314"/>
      <c r="PMV207" s="1313"/>
      <c r="PMW207" s="1315"/>
      <c r="PMX207" s="1316"/>
      <c r="PMY207" s="1317"/>
      <c r="PMZ207" s="1316"/>
      <c r="PNA207" s="1316"/>
      <c r="PNB207" s="1315"/>
      <c r="PNC207" s="1315"/>
      <c r="PND207" s="1318"/>
      <c r="PNF207" s="1320"/>
      <c r="PNG207" s="1320"/>
      <c r="PNH207" s="1318"/>
      <c r="PNI207" s="1318"/>
      <c r="PNO207" s="1313"/>
      <c r="PNP207" s="1314"/>
      <c r="PNQ207" s="1313"/>
      <c r="PNR207" s="1315"/>
      <c r="PNS207" s="1316"/>
      <c r="PNT207" s="1317"/>
      <c r="PNU207" s="1316"/>
      <c r="PNV207" s="1316"/>
      <c r="PNW207" s="1315"/>
      <c r="PNX207" s="1315"/>
      <c r="PNY207" s="1318"/>
      <c r="POA207" s="1320"/>
      <c r="POB207" s="1320"/>
      <c r="POC207" s="1318"/>
      <c r="POD207" s="1318"/>
      <c r="POJ207" s="1313"/>
      <c r="POK207" s="1314"/>
      <c r="POL207" s="1313"/>
      <c r="POM207" s="1315"/>
      <c r="PON207" s="1316"/>
      <c r="POO207" s="1317"/>
      <c r="POP207" s="1316"/>
      <c r="POQ207" s="1316"/>
      <c r="POR207" s="1315"/>
      <c r="POS207" s="1315"/>
      <c r="POT207" s="1318"/>
      <c r="POV207" s="1320"/>
      <c r="POW207" s="1320"/>
      <c r="POX207" s="1318"/>
      <c r="POY207" s="1318"/>
      <c r="PPE207" s="1313"/>
      <c r="PPF207" s="1314"/>
      <c r="PPG207" s="1313"/>
      <c r="PPH207" s="1315"/>
      <c r="PPI207" s="1316"/>
      <c r="PPJ207" s="1317"/>
      <c r="PPK207" s="1316"/>
      <c r="PPL207" s="1316"/>
      <c r="PPM207" s="1315"/>
      <c r="PPN207" s="1315"/>
      <c r="PPO207" s="1318"/>
      <c r="PPQ207" s="1320"/>
      <c r="PPR207" s="1320"/>
      <c r="PPS207" s="1318"/>
      <c r="PPT207" s="1318"/>
      <c r="PPZ207" s="1313"/>
      <c r="PQA207" s="1314"/>
      <c r="PQB207" s="1313"/>
      <c r="PQC207" s="1315"/>
      <c r="PQD207" s="1316"/>
      <c r="PQE207" s="1317"/>
      <c r="PQF207" s="1316"/>
      <c r="PQG207" s="1316"/>
      <c r="PQH207" s="1315"/>
      <c r="PQI207" s="1315"/>
      <c r="PQJ207" s="1318"/>
      <c r="PQL207" s="1320"/>
      <c r="PQM207" s="1320"/>
      <c r="PQN207" s="1318"/>
      <c r="PQO207" s="1318"/>
      <c r="PQU207" s="1313"/>
      <c r="PQV207" s="1314"/>
      <c r="PQW207" s="1313"/>
      <c r="PQX207" s="1315"/>
      <c r="PQY207" s="1316"/>
      <c r="PQZ207" s="1317"/>
      <c r="PRA207" s="1316"/>
      <c r="PRB207" s="1316"/>
      <c r="PRC207" s="1315"/>
      <c r="PRD207" s="1315"/>
      <c r="PRE207" s="1318"/>
      <c r="PRG207" s="1320"/>
      <c r="PRH207" s="1320"/>
      <c r="PRI207" s="1318"/>
      <c r="PRJ207" s="1318"/>
      <c r="PRP207" s="1313"/>
      <c r="PRQ207" s="1314"/>
      <c r="PRR207" s="1313"/>
      <c r="PRS207" s="1315"/>
      <c r="PRT207" s="1316"/>
      <c r="PRU207" s="1317"/>
      <c r="PRV207" s="1316"/>
      <c r="PRW207" s="1316"/>
      <c r="PRX207" s="1315"/>
      <c r="PRY207" s="1315"/>
      <c r="PRZ207" s="1318"/>
      <c r="PSB207" s="1320"/>
      <c r="PSC207" s="1320"/>
      <c r="PSD207" s="1318"/>
      <c r="PSE207" s="1318"/>
      <c r="PSK207" s="1313"/>
      <c r="PSL207" s="1314"/>
      <c r="PSM207" s="1313"/>
      <c r="PSN207" s="1315"/>
      <c r="PSO207" s="1316"/>
      <c r="PSP207" s="1317"/>
      <c r="PSQ207" s="1316"/>
      <c r="PSR207" s="1316"/>
      <c r="PSS207" s="1315"/>
      <c r="PST207" s="1315"/>
      <c r="PSU207" s="1318"/>
      <c r="PSW207" s="1320"/>
      <c r="PSX207" s="1320"/>
      <c r="PSY207" s="1318"/>
      <c r="PSZ207" s="1318"/>
      <c r="PTF207" s="1313"/>
      <c r="PTG207" s="1314"/>
      <c r="PTH207" s="1313"/>
      <c r="PTI207" s="1315"/>
      <c r="PTJ207" s="1316"/>
      <c r="PTK207" s="1317"/>
      <c r="PTL207" s="1316"/>
      <c r="PTM207" s="1316"/>
      <c r="PTN207" s="1315"/>
      <c r="PTO207" s="1315"/>
      <c r="PTP207" s="1318"/>
      <c r="PTR207" s="1320"/>
      <c r="PTS207" s="1320"/>
      <c r="PTT207" s="1318"/>
      <c r="PTU207" s="1318"/>
      <c r="PUA207" s="1313"/>
      <c r="PUB207" s="1314"/>
      <c r="PUC207" s="1313"/>
      <c r="PUD207" s="1315"/>
      <c r="PUE207" s="1316"/>
      <c r="PUF207" s="1317"/>
      <c r="PUG207" s="1316"/>
      <c r="PUH207" s="1316"/>
      <c r="PUI207" s="1315"/>
      <c r="PUJ207" s="1315"/>
      <c r="PUK207" s="1318"/>
      <c r="PUM207" s="1320"/>
      <c r="PUN207" s="1320"/>
      <c r="PUO207" s="1318"/>
      <c r="PUP207" s="1318"/>
      <c r="PUV207" s="1313"/>
      <c r="PUW207" s="1314"/>
      <c r="PUX207" s="1313"/>
      <c r="PUY207" s="1315"/>
      <c r="PUZ207" s="1316"/>
      <c r="PVA207" s="1317"/>
      <c r="PVB207" s="1316"/>
      <c r="PVC207" s="1316"/>
      <c r="PVD207" s="1315"/>
      <c r="PVE207" s="1315"/>
      <c r="PVF207" s="1318"/>
      <c r="PVH207" s="1320"/>
      <c r="PVI207" s="1320"/>
      <c r="PVJ207" s="1318"/>
      <c r="PVK207" s="1318"/>
      <c r="PVQ207" s="1313"/>
      <c r="PVR207" s="1314"/>
      <c r="PVS207" s="1313"/>
      <c r="PVT207" s="1315"/>
      <c r="PVU207" s="1316"/>
      <c r="PVV207" s="1317"/>
      <c r="PVW207" s="1316"/>
      <c r="PVX207" s="1316"/>
      <c r="PVY207" s="1315"/>
      <c r="PVZ207" s="1315"/>
      <c r="PWA207" s="1318"/>
      <c r="PWC207" s="1320"/>
      <c r="PWD207" s="1320"/>
      <c r="PWE207" s="1318"/>
      <c r="PWF207" s="1318"/>
      <c r="PWL207" s="1313"/>
      <c r="PWM207" s="1314"/>
      <c r="PWN207" s="1313"/>
      <c r="PWO207" s="1315"/>
      <c r="PWP207" s="1316"/>
      <c r="PWQ207" s="1317"/>
      <c r="PWR207" s="1316"/>
      <c r="PWS207" s="1316"/>
      <c r="PWT207" s="1315"/>
      <c r="PWU207" s="1315"/>
      <c r="PWV207" s="1318"/>
      <c r="PWX207" s="1320"/>
      <c r="PWY207" s="1320"/>
      <c r="PWZ207" s="1318"/>
      <c r="PXA207" s="1318"/>
      <c r="PXG207" s="1313"/>
      <c r="PXH207" s="1314"/>
      <c r="PXI207" s="1313"/>
      <c r="PXJ207" s="1315"/>
      <c r="PXK207" s="1316"/>
      <c r="PXL207" s="1317"/>
      <c r="PXM207" s="1316"/>
      <c r="PXN207" s="1316"/>
      <c r="PXO207" s="1315"/>
      <c r="PXP207" s="1315"/>
      <c r="PXQ207" s="1318"/>
      <c r="PXS207" s="1320"/>
      <c r="PXT207" s="1320"/>
      <c r="PXU207" s="1318"/>
      <c r="PXV207" s="1318"/>
      <c r="PYB207" s="1313"/>
      <c r="PYC207" s="1314"/>
      <c r="PYD207" s="1313"/>
      <c r="PYE207" s="1315"/>
      <c r="PYF207" s="1316"/>
      <c r="PYG207" s="1317"/>
      <c r="PYH207" s="1316"/>
      <c r="PYI207" s="1316"/>
      <c r="PYJ207" s="1315"/>
      <c r="PYK207" s="1315"/>
      <c r="PYL207" s="1318"/>
      <c r="PYN207" s="1320"/>
      <c r="PYO207" s="1320"/>
      <c r="PYP207" s="1318"/>
      <c r="PYQ207" s="1318"/>
      <c r="PYW207" s="1313"/>
      <c r="PYX207" s="1314"/>
      <c r="PYY207" s="1313"/>
      <c r="PYZ207" s="1315"/>
      <c r="PZA207" s="1316"/>
      <c r="PZB207" s="1317"/>
      <c r="PZC207" s="1316"/>
      <c r="PZD207" s="1316"/>
      <c r="PZE207" s="1315"/>
      <c r="PZF207" s="1315"/>
      <c r="PZG207" s="1318"/>
      <c r="PZI207" s="1320"/>
      <c r="PZJ207" s="1320"/>
      <c r="PZK207" s="1318"/>
      <c r="PZL207" s="1318"/>
      <c r="PZR207" s="1313"/>
      <c r="PZS207" s="1314"/>
      <c r="PZT207" s="1313"/>
      <c r="PZU207" s="1315"/>
      <c r="PZV207" s="1316"/>
      <c r="PZW207" s="1317"/>
      <c r="PZX207" s="1316"/>
      <c r="PZY207" s="1316"/>
      <c r="PZZ207" s="1315"/>
      <c r="QAA207" s="1315"/>
      <c r="QAB207" s="1318"/>
      <c r="QAD207" s="1320"/>
      <c r="QAE207" s="1320"/>
      <c r="QAF207" s="1318"/>
      <c r="QAG207" s="1318"/>
      <c r="QAM207" s="1313"/>
      <c r="QAN207" s="1314"/>
      <c r="QAO207" s="1313"/>
      <c r="QAP207" s="1315"/>
      <c r="QAQ207" s="1316"/>
      <c r="QAR207" s="1317"/>
      <c r="QAS207" s="1316"/>
      <c r="QAT207" s="1316"/>
      <c r="QAU207" s="1315"/>
      <c r="QAV207" s="1315"/>
      <c r="QAW207" s="1318"/>
      <c r="QAY207" s="1320"/>
      <c r="QAZ207" s="1320"/>
      <c r="QBA207" s="1318"/>
      <c r="QBB207" s="1318"/>
      <c r="QBH207" s="1313"/>
      <c r="QBI207" s="1314"/>
      <c r="QBJ207" s="1313"/>
      <c r="QBK207" s="1315"/>
      <c r="QBL207" s="1316"/>
      <c r="QBM207" s="1317"/>
      <c r="QBN207" s="1316"/>
      <c r="QBO207" s="1316"/>
      <c r="QBP207" s="1315"/>
      <c r="QBQ207" s="1315"/>
      <c r="QBR207" s="1318"/>
      <c r="QBT207" s="1320"/>
      <c r="QBU207" s="1320"/>
      <c r="QBV207" s="1318"/>
      <c r="QBW207" s="1318"/>
      <c r="QCC207" s="1313"/>
      <c r="QCD207" s="1314"/>
      <c r="QCE207" s="1313"/>
      <c r="QCF207" s="1315"/>
      <c r="QCG207" s="1316"/>
      <c r="QCH207" s="1317"/>
      <c r="QCI207" s="1316"/>
      <c r="QCJ207" s="1316"/>
      <c r="QCK207" s="1315"/>
      <c r="QCL207" s="1315"/>
      <c r="QCM207" s="1318"/>
      <c r="QCO207" s="1320"/>
      <c r="QCP207" s="1320"/>
      <c r="QCQ207" s="1318"/>
      <c r="QCR207" s="1318"/>
      <c r="QCX207" s="1313"/>
      <c r="QCY207" s="1314"/>
      <c r="QCZ207" s="1313"/>
      <c r="QDA207" s="1315"/>
      <c r="QDB207" s="1316"/>
      <c r="QDC207" s="1317"/>
      <c r="QDD207" s="1316"/>
      <c r="QDE207" s="1316"/>
      <c r="QDF207" s="1315"/>
      <c r="QDG207" s="1315"/>
      <c r="QDH207" s="1318"/>
      <c r="QDJ207" s="1320"/>
      <c r="QDK207" s="1320"/>
      <c r="QDL207" s="1318"/>
      <c r="QDM207" s="1318"/>
      <c r="QDS207" s="1313"/>
      <c r="QDT207" s="1314"/>
      <c r="QDU207" s="1313"/>
      <c r="QDV207" s="1315"/>
      <c r="QDW207" s="1316"/>
      <c r="QDX207" s="1317"/>
      <c r="QDY207" s="1316"/>
      <c r="QDZ207" s="1316"/>
      <c r="QEA207" s="1315"/>
      <c r="QEB207" s="1315"/>
      <c r="QEC207" s="1318"/>
      <c r="QEE207" s="1320"/>
      <c r="QEF207" s="1320"/>
      <c r="QEG207" s="1318"/>
      <c r="QEH207" s="1318"/>
      <c r="QEN207" s="1313"/>
      <c r="QEO207" s="1314"/>
      <c r="QEP207" s="1313"/>
      <c r="QEQ207" s="1315"/>
      <c r="QER207" s="1316"/>
      <c r="QES207" s="1317"/>
      <c r="QET207" s="1316"/>
      <c r="QEU207" s="1316"/>
      <c r="QEV207" s="1315"/>
      <c r="QEW207" s="1315"/>
      <c r="QEX207" s="1318"/>
      <c r="QEZ207" s="1320"/>
      <c r="QFA207" s="1320"/>
      <c r="QFB207" s="1318"/>
      <c r="QFC207" s="1318"/>
      <c r="QFI207" s="1313"/>
      <c r="QFJ207" s="1314"/>
      <c r="QFK207" s="1313"/>
      <c r="QFL207" s="1315"/>
      <c r="QFM207" s="1316"/>
      <c r="QFN207" s="1317"/>
      <c r="QFO207" s="1316"/>
      <c r="QFP207" s="1316"/>
      <c r="QFQ207" s="1315"/>
      <c r="QFR207" s="1315"/>
      <c r="QFS207" s="1318"/>
      <c r="QFU207" s="1320"/>
      <c r="QFV207" s="1320"/>
      <c r="QFW207" s="1318"/>
      <c r="QFX207" s="1318"/>
      <c r="QGD207" s="1313"/>
      <c r="QGE207" s="1314"/>
      <c r="QGF207" s="1313"/>
      <c r="QGG207" s="1315"/>
      <c r="QGH207" s="1316"/>
      <c r="QGI207" s="1317"/>
      <c r="QGJ207" s="1316"/>
      <c r="QGK207" s="1316"/>
      <c r="QGL207" s="1315"/>
      <c r="QGM207" s="1315"/>
      <c r="QGN207" s="1318"/>
      <c r="QGP207" s="1320"/>
      <c r="QGQ207" s="1320"/>
      <c r="QGR207" s="1318"/>
      <c r="QGS207" s="1318"/>
      <c r="QGY207" s="1313"/>
      <c r="QGZ207" s="1314"/>
      <c r="QHA207" s="1313"/>
      <c r="QHB207" s="1315"/>
      <c r="QHC207" s="1316"/>
      <c r="QHD207" s="1317"/>
      <c r="QHE207" s="1316"/>
      <c r="QHF207" s="1316"/>
      <c r="QHG207" s="1315"/>
      <c r="QHH207" s="1315"/>
      <c r="QHI207" s="1318"/>
      <c r="QHK207" s="1320"/>
      <c r="QHL207" s="1320"/>
      <c r="QHM207" s="1318"/>
      <c r="QHN207" s="1318"/>
      <c r="QHT207" s="1313"/>
      <c r="QHU207" s="1314"/>
      <c r="QHV207" s="1313"/>
      <c r="QHW207" s="1315"/>
      <c r="QHX207" s="1316"/>
      <c r="QHY207" s="1317"/>
      <c r="QHZ207" s="1316"/>
      <c r="QIA207" s="1316"/>
      <c r="QIB207" s="1315"/>
      <c r="QIC207" s="1315"/>
      <c r="QID207" s="1318"/>
      <c r="QIF207" s="1320"/>
      <c r="QIG207" s="1320"/>
      <c r="QIH207" s="1318"/>
      <c r="QII207" s="1318"/>
      <c r="QIO207" s="1313"/>
      <c r="QIP207" s="1314"/>
      <c r="QIQ207" s="1313"/>
      <c r="QIR207" s="1315"/>
      <c r="QIS207" s="1316"/>
      <c r="QIT207" s="1317"/>
      <c r="QIU207" s="1316"/>
      <c r="QIV207" s="1316"/>
      <c r="QIW207" s="1315"/>
      <c r="QIX207" s="1315"/>
      <c r="QIY207" s="1318"/>
      <c r="QJA207" s="1320"/>
      <c r="QJB207" s="1320"/>
      <c r="QJC207" s="1318"/>
      <c r="QJD207" s="1318"/>
      <c r="QJJ207" s="1313"/>
      <c r="QJK207" s="1314"/>
      <c r="QJL207" s="1313"/>
      <c r="QJM207" s="1315"/>
      <c r="QJN207" s="1316"/>
      <c r="QJO207" s="1317"/>
      <c r="QJP207" s="1316"/>
      <c r="QJQ207" s="1316"/>
      <c r="QJR207" s="1315"/>
      <c r="QJS207" s="1315"/>
      <c r="QJT207" s="1318"/>
      <c r="QJV207" s="1320"/>
      <c r="QJW207" s="1320"/>
      <c r="QJX207" s="1318"/>
      <c r="QJY207" s="1318"/>
      <c r="QKE207" s="1313"/>
      <c r="QKF207" s="1314"/>
      <c r="QKG207" s="1313"/>
      <c r="QKH207" s="1315"/>
      <c r="QKI207" s="1316"/>
      <c r="QKJ207" s="1317"/>
      <c r="QKK207" s="1316"/>
      <c r="QKL207" s="1316"/>
      <c r="QKM207" s="1315"/>
      <c r="QKN207" s="1315"/>
      <c r="QKO207" s="1318"/>
      <c r="QKQ207" s="1320"/>
      <c r="QKR207" s="1320"/>
      <c r="QKS207" s="1318"/>
      <c r="QKT207" s="1318"/>
      <c r="QKZ207" s="1313"/>
      <c r="QLA207" s="1314"/>
      <c r="QLB207" s="1313"/>
      <c r="QLC207" s="1315"/>
      <c r="QLD207" s="1316"/>
      <c r="QLE207" s="1317"/>
      <c r="QLF207" s="1316"/>
      <c r="QLG207" s="1316"/>
      <c r="QLH207" s="1315"/>
      <c r="QLI207" s="1315"/>
      <c r="QLJ207" s="1318"/>
      <c r="QLL207" s="1320"/>
      <c r="QLM207" s="1320"/>
      <c r="QLN207" s="1318"/>
      <c r="QLO207" s="1318"/>
      <c r="QLU207" s="1313"/>
      <c r="QLV207" s="1314"/>
      <c r="QLW207" s="1313"/>
      <c r="QLX207" s="1315"/>
      <c r="QLY207" s="1316"/>
      <c r="QLZ207" s="1317"/>
      <c r="QMA207" s="1316"/>
      <c r="QMB207" s="1316"/>
      <c r="QMC207" s="1315"/>
      <c r="QMD207" s="1315"/>
      <c r="QME207" s="1318"/>
      <c r="QMG207" s="1320"/>
      <c r="QMH207" s="1320"/>
      <c r="QMI207" s="1318"/>
      <c r="QMJ207" s="1318"/>
      <c r="QMP207" s="1313"/>
      <c r="QMQ207" s="1314"/>
      <c r="QMR207" s="1313"/>
      <c r="QMS207" s="1315"/>
      <c r="QMT207" s="1316"/>
      <c r="QMU207" s="1317"/>
      <c r="QMV207" s="1316"/>
      <c r="QMW207" s="1316"/>
      <c r="QMX207" s="1315"/>
      <c r="QMY207" s="1315"/>
      <c r="QMZ207" s="1318"/>
      <c r="QNB207" s="1320"/>
      <c r="QNC207" s="1320"/>
      <c r="QND207" s="1318"/>
      <c r="QNE207" s="1318"/>
      <c r="QNK207" s="1313"/>
      <c r="QNL207" s="1314"/>
      <c r="QNM207" s="1313"/>
      <c r="QNN207" s="1315"/>
      <c r="QNO207" s="1316"/>
      <c r="QNP207" s="1317"/>
      <c r="QNQ207" s="1316"/>
      <c r="QNR207" s="1316"/>
      <c r="QNS207" s="1315"/>
      <c r="QNT207" s="1315"/>
      <c r="QNU207" s="1318"/>
      <c r="QNW207" s="1320"/>
      <c r="QNX207" s="1320"/>
      <c r="QNY207" s="1318"/>
      <c r="QNZ207" s="1318"/>
      <c r="QOF207" s="1313"/>
      <c r="QOG207" s="1314"/>
      <c r="QOH207" s="1313"/>
      <c r="QOI207" s="1315"/>
      <c r="QOJ207" s="1316"/>
      <c r="QOK207" s="1317"/>
      <c r="QOL207" s="1316"/>
      <c r="QOM207" s="1316"/>
      <c r="QON207" s="1315"/>
      <c r="QOO207" s="1315"/>
      <c r="QOP207" s="1318"/>
      <c r="QOR207" s="1320"/>
      <c r="QOS207" s="1320"/>
      <c r="QOT207" s="1318"/>
      <c r="QOU207" s="1318"/>
      <c r="QPA207" s="1313"/>
      <c r="QPB207" s="1314"/>
      <c r="QPC207" s="1313"/>
      <c r="QPD207" s="1315"/>
      <c r="QPE207" s="1316"/>
      <c r="QPF207" s="1317"/>
      <c r="QPG207" s="1316"/>
      <c r="QPH207" s="1316"/>
      <c r="QPI207" s="1315"/>
      <c r="QPJ207" s="1315"/>
      <c r="QPK207" s="1318"/>
      <c r="QPM207" s="1320"/>
      <c r="QPN207" s="1320"/>
      <c r="QPO207" s="1318"/>
      <c r="QPP207" s="1318"/>
      <c r="QPV207" s="1313"/>
      <c r="QPW207" s="1314"/>
      <c r="QPX207" s="1313"/>
      <c r="QPY207" s="1315"/>
      <c r="QPZ207" s="1316"/>
      <c r="QQA207" s="1317"/>
      <c r="QQB207" s="1316"/>
      <c r="QQC207" s="1316"/>
      <c r="QQD207" s="1315"/>
      <c r="QQE207" s="1315"/>
      <c r="QQF207" s="1318"/>
      <c r="QQH207" s="1320"/>
      <c r="QQI207" s="1320"/>
      <c r="QQJ207" s="1318"/>
      <c r="QQK207" s="1318"/>
      <c r="QQQ207" s="1313"/>
      <c r="QQR207" s="1314"/>
      <c r="QQS207" s="1313"/>
      <c r="QQT207" s="1315"/>
      <c r="QQU207" s="1316"/>
      <c r="QQV207" s="1317"/>
      <c r="QQW207" s="1316"/>
      <c r="QQX207" s="1316"/>
      <c r="QQY207" s="1315"/>
      <c r="QQZ207" s="1315"/>
      <c r="QRA207" s="1318"/>
      <c r="QRC207" s="1320"/>
      <c r="QRD207" s="1320"/>
      <c r="QRE207" s="1318"/>
      <c r="QRF207" s="1318"/>
      <c r="QRL207" s="1313"/>
      <c r="QRM207" s="1314"/>
      <c r="QRN207" s="1313"/>
      <c r="QRO207" s="1315"/>
      <c r="QRP207" s="1316"/>
      <c r="QRQ207" s="1317"/>
      <c r="QRR207" s="1316"/>
      <c r="QRS207" s="1316"/>
      <c r="QRT207" s="1315"/>
      <c r="QRU207" s="1315"/>
      <c r="QRV207" s="1318"/>
      <c r="QRX207" s="1320"/>
      <c r="QRY207" s="1320"/>
      <c r="QRZ207" s="1318"/>
      <c r="QSA207" s="1318"/>
      <c r="QSG207" s="1313"/>
      <c r="QSH207" s="1314"/>
      <c r="QSI207" s="1313"/>
      <c r="QSJ207" s="1315"/>
      <c r="QSK207" s="1316"/>
      <c r="QSL207" s="1317"/>
      <c r="QSM207" s="1316"/>
      <c r="QSN207" s="1316"/>
      <c r="QSO207" s="1315"/>
      <c r="QSP207" s="1315"/>
      <c r="QSQ207" s="1318"/>
      <c r="QSS207" s="1320"/>
      <c r="QST207" s="1320"/>
      <c r="QSU207" s="1318"/>
      <c r="QSV207" s="1318"/>
      <c r="QTB207" s="1313"/>
      <c r="QTC207" s="1314"/>
      <c r="QTD207" s="1313"/>
      <c r="QTE207" s="1315"/>
      <c r="QTF207" s="1316"/>
      <c r="QTG207" s="1317"/>
      <c r="QTH207" s="1316"/>
      <c r="QTI207" s="1316"/>
      <c r="QTJ207" s="1315"/>
      <c r="QTK207" s="1315"/>
      <c r="QTL207" s="1318"/>
      <c r="QTN207" s="1320"/>
      <c r="QTO207" s="1320"/>
      <c r="QTP207" s="1318"/>
      <c r="QTQ207" s="1318"/>
      <c r="QTW207" s="1313"/>
      <c r="QTX207" s="1314"/>
      <c r="QTY207" s="1313"/>
      <c r="QTZ207" s="1315"/>
      <c r="QUA207" s="1316"/>
      <c r="QUB207" s="1317"/>
      <c r="QUC207" s="1316"/>
      <c r="QUD207" s="1316"/>
      <c r="QUE207" s="1315"/>
      <c r="QUF207" s="1315"/>
      <c r="QUG207" s="1318"/>
      <c r="QUI207" s="1320"/>
      <c r="QUJ207" s="1320"/>
      <c r="QUK207" s="1318"/>
      <c r="QUL207" s="1318"/>
      <c r="QUR207" s="1313"/>
      <c r="QUS207" s="1314"/>
      <c r="QUT207" s="1313"/>
      <c r="QUU207" s="1315"/>
      <c r="QUV207" s="1316"/>
      <c r="QUW207" s="1317"/>
      <c r="QUX207" s="1316"/>
      <c r="QUY207" s="1316"/>
      <c r="QUZ207" s="1315"/>
      <c r="QVA207" s="1315"/>
      <c r="QVB207" s="1318"/>
      <c r="QVD207" s="1320"/>
      <c r="QVE207" s="1320"/>
      <c r="QVF207" s="1318"/>
      <c r="QVG207" s="1318"/>
      <c r="QVM207" s="1313"/>
      <c r="QVN207" s="1314"/>
      <c r="QVO207" s="1313"/>
      <c r="QVP207" s="1315"/>
      <c r="QVQ207" s="1316"/>
      <c r="QVR207" s="1317"/>
      <c r="QVS207" s="1316"/>
      <c r="QVT207" s="1316"/>
      <c r="QVU207" s="1315"/>
      <c r="QVV207" s="1315"/>
      <c r="QVW207" s="1318"/>
      <c r="QVY207" s="1320"/>
      <c r="QVZ207" s="1320"/>
      <c r="QWA207" s="1318"/>
      <c r="QWB207" s="1318"/>
      <c r="QWH207" s="1313"/>
      <c r="QWI207" s="1314"/>
      <c r="QWJ207" s="1313"/>
      <c r="QWK207" s="1315"/>
      <c r="QWL207" s="1316"/>
      <c r="QWM207" s="1317"/>
      <c r="QWN207" s="1316"/>
      <c r="QWO207" s="1316"/>
      <c r="QWP207" s="1315"/>
      <c r="QWQ207" s="1315"/>
      <c r="QWR207" s="1318"/>
      <c r="QWT207" s="1320"/>
      <c r="QWU207" s="1320"/>
      <c r="QWV207" s="1318"/>
      <c r="QWW207" s="1318"/>
      <c r="QXC207" s="1313"/>
      <c r="QXD207" s="1314"/>
      <c r="QXE207" s="1313"/>
      <c r="QXF207" s="1315"/>
      <c r="QXG207" s="1316"/>
      <c r="QXH207" s="1317"/>
      <c r="QXI207" s="1316"/>
      <c r="QXJ207" s="1316"/>
      <c r="QXK207" s="1315"/>
      <c r="QXL207" s="1315"/>
      <c r="QXM207" s="1318"/>
      <c r="QXO207" s="1320"/>
      <c r="QXP207" s="1320"/>
      <c r="QXQ207" s="1318"/>
      <c r="QXR207" s="1318"/>
      <c r="QXX207" s="1313"/>
      <c r="QXY207" s="1314"/>
      <c r="QXZ207" s="1313"/>
      <c r="QYA207" s="1315"/>
      <c r="QYB207" s="1316"/>
      <c r="QYC207" s="1317"/>
      <c r="QYD207" s="1316"/>
      <c r="QYE207" s="1316"/>
      <c r="QYF207" s="1315"/>
      <c r="QYG207" s="1315"/>
      <c r="QYH207" s="1318"/>
      <c r="QYJ207" s="1320"/>
      <c r="QYK207" s="1320"/>
      <c r="QYL207" s="1318"/>
      <c r="QYM207" s="1318"/>
      <c r="QYS207" s="1313"/>
      <c r="QYT207" s="1314"/>
      <c r="QYU207" s="1313"/>
      <c r="QYV207" s="1315"/>
      <c r="QYW207" s="1316"/>
      <c r="QYX207" s="1317"/>
      <c r="QYY207" s="1316"/>
      <c r="QYZ207" s="1316"/>
      <c r="QZA207" s="1315"/>
      <c r="QZB207" s="1315"/>
      <c r="QZC207" s="1318"/>
      <c r="QZE207" s="1320"/>
      <c r="QZF207" s="1320"/>
      <c r="QZG207" s="1318"/>
      <c r="QZH207" s="1318"/>
      <c r="QZN207" s="1313"/>
      <c r="QZO207" s="1314"/>
      <c r="QZP207" s="1313"/>
      <c r="QZQ207" s="1315"/>
      <c r="QZR207" s="1316"/>
      <c r="QZS207" s="1317"/>
      <c r="QZT207" s="1316"/>
      <c r="QZU207" s="1316"/>
      <c r="QZV207" s="1315"/>
      <c r="QZW207" s="1315"/>
      <c r="QZX207" s="1318"/>
      <c r="QZZ207" s="1320"/>
      <c r="RAA207" s="1320"/>
      <c r="RAB207" s="1318"/>
      <c r="RAC207" s="1318"/>
      <c r="RAI207" s="1313"/>
      <c r="RAJ207" s="1314"/>
      <c r="RAK207" s="1313"/>
      <c r="RAL207" s="1315"/>
      <c r="RAM207" s="1316"/>
      <c r="RAN207" s="1317"/>
      <c r="RAO207" s="1316"/>
      <c r="RAP207" s="1316"/>
      <c r="RAQ207" s="1315"/>
      <c r="RAR207" s="1315"/>
      <c r="RAS207" s="1318"/>
      <c r="RAU207" s="1320"/>
      <c r="RAV207" s="1320"/>
      <c r="RAW207" s="1318"/>
      <c r="RAX207" s="1318"/>
      <c r="RBD207" s="1313"/>
      <c r="RBE207" s="1314"/>
      <c r="RBF207" s="1313"/>
      <c r="RBG207" s="1315"/>
      <c r="RBH207" s="1316"/>
      <c r="RBI207" s="1317"/>
      <c r="RBJ207" s="1316"/>
      <c r="RBK207" s="1316"/>
      <c r="RBL207" s="1315"/>
      <c r="RBM207" s="1315"/>
      <c r="RBN207" s="1318"/>
      <c r="RBP207" s="1320"/>
      <c r="RBQ207" s="1320"/>
      <c r="RBR207" s="1318"/>
      <c r="RBS207" s="1318"/>
      <c r="RBY207" s="1313"/>
      <c r="RBZ207" s="1314"/>
      <c r="RCA207" s="1313"/>
      <c r="RCB207" s="1315"/>
      <c r="RCC207" s="1316"/>
      <c r="RCD207" s="1317"/>
      <c r="RCE207" s="1316"/>
      <c r="RCF207" s="1316"/>
      <c r="RCG207" s="1315"/>
      <c r="RCH207" s="1315"/>
      <c r="RCI207" s="1318"/>
      <c r="RCK207" s="1320"/>
      <c r="RCL207" s="1320"/>
      <c r="RCM207" s="1318"/>
      <c r="RCN207" s="1318"/>
      <c r="RCT207" s="1313"/>
      <c r="RCU207" s="1314"/>
      <c r="RCV207" s="1313"/>
      <c r="RCW207" s="1315"/>
      <c r="RCX207" s="1316"/>
      <c r="RCY207" s="1317"/>
      <c r="RCZ207" s="1316"/>
      <c r="RDA207" s="1316"/>
      <c r="RDB207" s="1315"/>
      <c r="RDC207" s="1315"/>
      <c r="RDD207" s="1318"/>
      <c r="RDF207" s="1320"/>
      <c r="RDG207" s="1320"/>
      <c r="RDH207" s="1318"/>
      <c r="RDI207" s="1318"/>
      <c r="RDO207" s="1313"/>
      <c r="RDP207" s="1314"/>
      <c r="RDQ207" s="1313"/>
      <c r="RDR207" s="1315"/>
      <c r="RDS207" s="1316"/>
      <c r="RDT207" s="1317"/>
      <c r="RDU207" s="1316"/>
      <c r="RDV207" s="1316"/>
      <c r="RDW207" s="1315"/>
      <c r="RDX207" s="1315"/>
      <c r="RDY207" s="1318"/>
      <c r="REA207" s="1320"/>
      <c r="REB207" s="1320"/>
      <c r="REC207" s="1318"/>
      <c r="RED207" s="1318"/>
      <c r="REJ207" s="1313"/>
      <c r="REK207" s="1314"/>
      <c r="REL207" s="1313"/>
      <c r="REM207" s="1315"/>
      <c r="REN207" s="1316"/>
      <c r="REO207" s="1317"/>
      <c r="REP207" s="1316"/>
      <c r="REQ207" s="1316"/>
      <c r="RER207" s="1315"/>
      <c r="RES207" s="1315"/>
      <c r="RET207" s="1318"/>
      <c r="REV207" s="1320"/>
      <c r="REW207" s="1320"/>
      <c r="REX207" s="1318"/>
      <c r="REY207" s="1318"/>
      <c r="RFE207" s="1313"/>
      <c r="RFF207" s="1314"/>
      <c r="RFG207" s="1313"/>
      <c r="RFH207" s="1315"/>
      <c r="RFI207" s="1316"/>
      <c r="RFJ207" s="1317"/>
      <c r="RFK207" s="1316"/>
      <c r="RFL207" s="1316"/>
      <c r="RFM207" s="1315"/>
      <c r="RFN207" s="1315"/>
      <c r="RFO207" s="1318"/>
      <c r="RFQ207" s="1320"/>
      <c r="RFR207" s="1320"/>
      <c r="RFS207" s="1318"/>
      <c r="RFT207" s="1318"/>
      <c r="RFZ207" s="1313"/>
      <c r="RGA207" s="1314"/>
      <c r="RGB207" s="1313"/>
      <c r="RGC207" s="1315"/>
      <c r="RGD207" s="1316"/>
      <c r="RGE207" s="1317"/>
      <c r="RGF207" s="1316"/>
      <c r="RGG207" s="1316"/>
      <c r="RGH207" s="1315"/>
      <c r="RGI207" s="1315"/>
      <c r="RGJ207" s="1318"/>
      <c r="RGL207" s="1320"/>
      <c r="RGM207" s="1320"/>
      <c r="RGN207" s="1318"/>
      <c r="RGO207" s="1318"/>
      <c r="RGU207" s="1313"/>
      <c r="RGV207" s="1314"/>
      <c r="RGW207" s="1313"/>
      <c r="RGX207" s="1315"/>
      <c r="RGY207" s="1316"/>
      <c r="RGZ207" s="1317"/>
      <c r="RHA207" s="1316"/>
      <c r="RHB207" s="1316"/>
      <c r="RHC207" s="1315"/>
      <c r="RHD207" s="1315"/>
      <c r="RHE207" s="1318"/>
      <c r="RHG207" s="1320"/>
      <c r="RHH207" s="1320"/>
      <c r="RHI207" s="1318"/>
      <c r="RHJ207" s="1318"/>
      <c r="RHP207" s="1313"/>
      <c r="RHQ207" s="1314"/>
      <c r="RHR207" s="1313"/>
      <c r="RHS207" s="1315"/>
      <c r="RHT207" s="1316"/>
      <c r="RHU207" s="1317"/>
      <c r="RHV207" s="1316"/>
      <c r="RHW207" s="1316"/>
      <c r="RHX207" s="1315"/>
      <c r="RHY207" s="1315"/>
      <c r="RHZ207" s="1318"/>
      <c r="RIB207" s="1320"/>
      <c r="RIC207" s="1320"/>
      <c r="RID207" s="1318"/>
      <c r="RIE207" s="1318"/>
      <c r="RIK207" s="1313"/>
      <c r="RIL207" s="1314"/>
      <c r="RIM207" s="1313"/>
      <c r="RIN207" s="1315"/>
      <c r="RIO207" s="1316"/>
      <c r="RIP207" s="1317"/>
      <c r="RIQ207" s="1316"/>
      <c r="RIR207" s="1316"/>
      <c r="RIS207" s="1315"/>
      <c r="RIT207" s="1315"/>
      <c r="RIU207" s="1318"/>
      <c r="RIW207" s="1320"/>
      <c r="RIX207" s="1320"/>
      <c r="RIY207" s="1318"/>
      <c r="RIZ207" s="1318"/>
      <c r="RJF207" s="1313"/>
      <c r="RJG207" s="1314"/>
      <c r="RJH207" s="1313"/>
      <c r="RJI207" s="1315"/>
      <c r="RJJ207" s="1316"/>
      <c r="RJK207" s="1317"/>
      <c r="RJL207" s="1316"/>
      <c r="RJM207" s="1316"/>
      <c r="RJN207" s="1315"/>
      <c r="RJO207" s="1315"/>
      <c r="RJP207" s="1318"/>
      <c r="RJR207" s="1320"/>
      <c r="RJS207" s="1320"/>
      <c r="RJT207" s="1318"/>
      <c r="RJU207" s="1318"/>
      <c r="RKA207" s="1313"/>
      <c r="RKB207" s="1314"/>
      <c r="RKC207" s="1313"/>
      <c r="RKD207" s="1315"/>
      <c r="RKE207" s="1316"/>
      <c r="RKF207" s="1317"/>
      <c r="RKG207" s="1316"/>
      <c r="RKH207" s="1316"/>
      <c r="RKI207" s="1315"/>
      <c r="RKJ207" s="1315"/>
      <c r="RKK207" s="1318"/>
      <c r="RKM207" s="1320"/>
      <c r="RKN207" s="1320"/>
      <c r="RKO207" s="1318"/>
      <c r="RKP207" s="1318"/>
      <c r="RKV207" s="1313"/>
      <c r="RKW207" s="1314"/>
      <c r="RKX207" s="1313"/>
      <c r="RKY207" s="1315"/>
      <c r="RKZ207" s="1316"/>
      <c r="RLA207" s="1317"/>
      <c r="RLB207" s="1316"/>
      <c r="RLC207" s="1316"/>
      <c r="RLD207" s="1315"/>
      <c r="RLE207" s="1315"/>
      <c r="RLF207" s="1318"/>
      <c r="RLH207" s="1320"/>
      <c r="RLI207" s="1320"/>
      <c r="RLJ207" s="1318"/>
      <c r="RLK207" s="1318"/>
      <c r="RLQ207" s="1313"/>
      <c r="RLR207" s="1314"/>
      <c r="RLS207" s="1313"/>
      <c r="RLT207" s="1315"/>
      <c r="RLU207" s="1316"/>
      <c r="RLV207" s="1317"/>
      <c r="RLW207" s="1316"/>
      <c r="RLX207" s="1316"/>
      <c r="RLY207" s="1315"/>
      <c r="RLZ207" s="1315"/>
      <c r="RMA207" s="1318"/>
      <c r="RMC207" s="1320"/>
      <c r="RMD207" s="1320"/>
      <c r="RME207" s="1318"/>
      <c r="RMF207" s="1318"/>
      <c r="RML207" s="1313"/>
      <c r="RMM207" s="1314"/>
      <c r="RMN207" s="1313"/>
      <c r="RMO207" s="1315"/>
      <c r="RMP207" s="1316"/>
      <c r="RMQ207" s="1317"/>
      <c r="RMR207" s="1316"/>
      <c r="RMS207" s="1316"/>
      <c r="RMT207" s="1315"/>
      <c r="RMU207" s="1315"/>
      <c r="RMV207" s="1318"/>
      <c r="RMX207" s="1320"/>
      <c r="RMY207" s="1320"/>
      <c r="RMZ207" s="1318"/>
      <c r="RNA207" s="1318"/>
      <c r="RNG207" s="1313"/>
      <c r="RNH207" s="1314"/>
      <c r="RNI207" s="1313"/>
      <c r="RNJ207" s="1315"/>
      <c r="RNK207" s="1316"/>
      <c r="RNL207" s="1317"/>
      <c r="RNM207" s="1316"/>
      <c r="RNN207" s="1316"/>
      <c r="RNO207" s="1315"/>
      <c r="RNP207" s="1315"/>
      <c r="RNQ207" s="1318"/>
      <c r="RNS207" s="1320"/>
      <c r="RNT207" s="1320"/>
      <c r="RNU207" s="1318"/>
      <c r="RNV207" s="1318"/>
      <c r="ROB207" s="1313"/>
      <c r="ROC207" s="1314"/>
      <c r="ROD207" s="1313"/>
      <c r="ROE207" s="1315"/>
      <c r="ROF207" s="1316"/>
      <c r="ROG207" s="1317"/>
      <c r="ROH207" s="1316"/>
      <c r="ROI207" s="1316"/>
      <c r="ROJ207" s="1315"/>
      <c r="ROK207" s="1315"/>
      <c r="ROL207" s="1318"/>
      <c r="RON207" s="1320"/>
      <c r="ROO207" s="1320"/>
      <c r="ROP207" s="1318"/>
      <c r="ROQ207" s="1318"/>
      <c r="ROW207" s="1313"/>
      <c r="ROX207" s="1314"/>
      <c r="ROY207" s="1313"/>
      <c r="ROZ207" s="1315"/>
      <c r="RPA207" s="1316"/>
      <c r="RPB207" s="1317"/>
      <c r="RPC207" s="1316"/>
      <c r="RPD207" s="1316"/>
      <c r="RPE207" s="1315"/>
      <c r="RPF207" s="1315"/>
      <c r="RPG207" s="1318"/>
      <c r="RPI207" s="1320"/>
      <c r="RPJ207" s="1320"/>
      <c r="RPK207" s="1318"/>
      <c r="RPL207" s="1318"/>
      <c r="RPR207" s="1313"/>
      <c r="RPS207" s="1314"/>
      <c r="RPT207" s="1313"/>
      <c r="RPU207" s="1315"/>
      <c r="RPV207" s="1316"/>
      <c r="RPW207" s="1317"/>
      <c r="RPX207" s="1316"/>
      <c r="RPY207" s="1316"/>
      <c r="RPZ207" s="1315"/>
      <c r="RQA207" s="1315"/>
      <c r="RQB207" s="1318"/>
      <c r="RQD207" s="1320"/>
      <c r="RQE207" s="1320"/>
      <c r="RQF207" s="1318"/>
      <c r="RQG207" s="1318"/>
      <c r="RQM207" s="1313"/>
      <c r="RQN207" s="1314"/>
      <c r="RQO207" s="1313"/>
      <c r="RQP207" s="1315"/>
      <c r="RQQ207" s="1316"/>
      <c r="RQR207" s="1317"/>
      <c r="RQS207" s="1316"/>
      <c r="RQT207" s="1316"/>
      <c r="RQU207" s="1315"/>
      <c r="RQV207" s="1315"/>
      <c r="RQW207" s="1318"/>
      <c r="RQY207" s="1320"/>
      <c r="RQZ207" s="1320"/>
      <c r="RRA207" s="1318"/>
      <c r="RRB207" s="1318"/>
      <c r="RRH207" s="1313"/>
      <c r="RRI207" s="1314"/>
      <c r="RRJ207" s="1313"/>
      <c r="RRK207" s="1315"/>
      <c r="RRL207" s="1316"/>
      <c r="RRM207" s="1317"/>
      <c r="RRN207" s="1316"/>
      <c r="RRO207" s="1316"/>
      <c r="RRP207" s="1315"/>
      <c r="RRQ207" s="1315"/>
      <c r="RRR207" s="1318"/>
      <c r="RRT207" s="1320"/>
      <c r="RRU207" s="1320"/>
      <c r="RRV207" s="1318"/>
      <c r="RRW207" s="1318"/>
      <c r="RSC207" s="1313"/>
      <c r="RSD207" s="1314"/>
      <c r="RSE207" s="1313"/>
      <c r="RSF207" s="1315"/>
      <c r="RSG207" s="1316"/>
      <c r="RSH207" s="1317"/>
      <c r="RSI207" s="1316"/>
      <c r="RSJ207" s="1316"/>
      <c r="RSK207" s="1315"/>
      <c r="RSL207" s="1315"/>
      <c r="RSM207" s="1318"/>
      <c r="RSO207" s="1320"/>
      <c r="RSP207" s="1320"/>
      <c r="RSQ207" s="1318"/>
      <c r="RSR207" s="1318"/>
      <c r="RSX207" s="1313"/>
      <c r="RSY207" s="1314"/>
      <c r="RSZ207" s="1313"/>
      <c r="RTA207" s="1315"/>
      <c r="RTB207" s="1316"/>
      <c r="RTC207" s="1317"/>
      <c r="RTD207" s="1316"/>
      <c r="RTE207" s="1316"/>
      <c r="RTF207" s="1315"/>
      <c r="RTG207" s="1315"/>
      <c r="RTH207" s="1318"/>
      <c r="RTJ207" s="1320"/>
      <c r="RTK207" s="1320"/>
      <c r="RTL207" s="1318"/>
      <c r="RTM207" s="1318"/>
      <c r="RTS207" s="1313"/>
      <c r="RTT207" s="1314"/>
      <c r="RTU207" s="1313"/>
      <c r="RTV207" s="1315"/>
      <c r="RTW207" s="1316"/>
      <c r="RTX207" s="1317"/>
      <c r="RTY207" s="1316"/>
      <c r="RTZ207" s="1316"/>
      <c r="RUA207" s="1315"/>
      <c r="RUB207" s="1315"/>
      <c r="RUC207" s="1318"/>
      <c r="RUE207" s="1320"/>
      <c r="RUF207" s="1320"/>
      <c r="RUG207" s="1318"/>
      <c r="RUH207" s="1318"/>
      <c r="RUN207" s="1313"/>
      <c r="RUO207" s="1314"/>
      <c r="RUP207" s="1313"/>
      <c r="RUQ207" s="1315"/>
      <c r="RUR207" s="1316"/>
      <c r="RUS207" s="1317"/>
      <c r="RUT207" s="1316"/>
      <c r="RUU207" s="1316"/>
      <c r="RUV207" s="1315"/>
      <c r="RUW207" s="1315"/>
      <c r="RUX207" s="1318"/>
      <c r="RUZ207" s="1320"/>
      <c r="RVA207" s="1320"/>
      <c r="RVB207" s="1318"/>
      <c r="RVC207" s="1318"/>
      <c r="RVI207" s="1313"/>
      <c r="RVJ207" s="1314"/>
      <c r="RVK207" s="1313"/>
      <c r="RVL207" s="1315"/>
      <c r="RVM207" s="1316"/>
      <c r="RVN207" s="1317"/>
      <c r="RVO207" s="1316"/>
      <c r="RVP207" s="1316"/>
      <c r="RVQ207" s="1315"/>
      <c r="RVR207" s="1315"/>
      <c r="RVS207" s="1318"/>
      <c r="RVU207" s="1320"/>
      <c r="RVV207" s="1320"/>
      <c r="RVW207" s="1318"/>
      <c r="RVX207" s="1318"/>
      <c r="RWD207" s="1313"/>
      <c r="RWE207" s="1314"/>
      <c r="RWF207" s="1313"/>
      <c r="RWG207" s="1315"/>
      <c r="RWH207" s="1316"/>
      <c r="RWI207" s="1317"/>
      <c r="RWJ207" s="1316"/>
      <c r="RWK207" s="1316"/>
      <c r="RWL207" s="1315"/>
      <c r="RWM207" s="1315"/>
      <c r="RWN207" s="1318"/>
      <c r="RWP207" s="1320"/>
      <c r="RWQ207" s="1320"/>
      <c r="RWR207" s="1318"/>
      <c r="RWS207" s="1318"/>
      <c r="RWY207" s="1313"/>
      <c r="RWZ207" s="1314"/>
      <c r="RXA207" s="1313"/>
      <c r="RXB207" s="1315"/>
      <c r="RXC207" s="1316"/>
      <c r="RXD207" s="1317"/>
      <c r="RXE207" s="1316"/>
      <c r="RXF207" s="1316"/>
      <c r="RXG207" s="1315"/>
      <c r="RXH207" s="1315"/>
      <c r="RXI207" s="1318"/>
      <c r="RXK207" s="1320"/>
      <c r="RXL207" s="1320"/>
      <c r="RXM207" s="1318"/>
      <c r="RXN207" s="1318"/>
      <c r="RXT207" s="1313"/>
      <c r="RXU207" s="1314"/>
      <c r="RXV207" s="1313"/>
      <c r="RXW207" s="1315"/>
      <c r="RXX207" s="1316"/>
      <c r="RXY207" s="1317"/>
      <c r="RXZ207" s="1316"/>
      <c r="RYA207" s="1316"/>
      <c r="RYB207" s="1315"/>
      <c r="RYC207" s="1315"/>
      <c r="RYD207" s="1318"/>
      <c r="RYF207" s="1320"/>
      <c r="RYG207" s="1320"/>
      <c r="RYH207" s="1318"/>
      <c r="RYI207" s="1318"/>
      <c r="RYO207" s="1313"/>
      <c r="RYP207" s="1314"/>
      <c r="RYQ207" s="1313"/>
      <c r="RYR207" s="1315"/>
      <c r="RYS207" s="1316"/>
      <c r="RYT207" s="1317"/>
      <c r="RYU207" s="1316"/>
      <c r="RYV207" s="1316"/>
      <c r="RYW207" s="1315"/>
      <c r="RYX207" s="1315"/>
      <c r="RYY207" s="1318"/>
      <c r="RZA207" s="1320"/>
      <c r="RZB207" s="1320"/>
      <c r="RZC207" s="1318"/>
      <c r="RZD207" s="1318"/>
      <c r="RZJ207" s="1313"/>
      <c r="RZK207" s="1314"/>
      <c r="RZL207" s="1313"/>
      <c r="RZM207" s="1315"/>
      <c r="RZN207" s="1316"/>
      <c r="RZO207" s="1317"/>
      <c r="RZP207" s="1316"/>
      <c r="RZQ207" s="1316"/>
      <c r="RZR207" s="1315"/>
      <c r="RZS207" s="1315"/>
      <c r="RZT207" s="1318"/>
      <c r="RZV207" s="1320"/>
      <c r="RZW207" s="1320"/>
      <c r="RZX207" s="1318"/>
      <c r="RZY207" s="1318"/>
      <c r="SAE207" s="1313"/>
      <c r="SAF207" s="1314"/>
      <c r="SAG207" s="1313"/>
      <c r="SAH207" s="1315"/>
      <c r="SAI207" s="1316"/>
      <c r="SAJ207" s="1317"/>
      <c r="SAK207" s="1316"/>
      <c r="SAL207" s="1316"/>
      <c r="SAM207" s="1315"/>
      <c r="SAN207" s="1315"/>
      <c r="SAO207" s="1318"/>
      <c r="SAQ207" s="1320"/>
      <c r="SAR207" s="1320"/>
      <c r="SAS207" s="1318"/>
      <c r="SAT207" s="1318"/>
      <c r="SAZ207" s="1313"/>
      <c r="SBA207" s="1314"/>
      <c r="SBB207" s="1313"/>
      <c r="SBC207" s="1315"/>
      <c r="SBD207" s="1316"/>
      <c r="SBE207" s="1317"/>
      <c r="SBF207" s="1316"/>
      <c r="SBG207" s="1316"/>
      <c r="SBH207" s="1315"/>
      <c r="SBI207" s="1315"/>
      <c r="SBJ207" s="1318"/>
      <c r="SBL207" s="1320"/>
      <c r="SBM207" s="1320"/>
      <c r="SBN207" s="1318"/>
      <c r="SBO207" s="1318"/>
      <c r="SBU207" s="1313"/>
      <c r="SBV207" s="1314"/>
      <c r="SBW207" s="1313"/>
      <c r="SBX207" s="1315"/>
      <c r="SBY207" s="1316"/>
      <c r="SBZ207" s="1317"/>
      <c r="SCA207" s="1316"/>
      <c r="SCB207" s="1316"/>
      <c r="SCC207" s="1315"/>
      <c r="SCD207" s="1315"/>
      <c r="SCE207" s="1318"/>
      <c r="SCG207" s="1320"/>
      <c r="SCH207" s="1320"/>
      <c r="SCI207" s="1318"/>
      <c r="SCJ207" s="1318"/>
      <c r="SCP207" s="1313"/>
      <c r="SCQ207" s="1314"/>
      <c r="SCR207" s="1313"/>
      <c r="SCS207" s="1315"/>
      <c r="SCT207" s="1316"/>
      <c r="SCU207" s="1317"/>
      <c r="SCV207" s="1316"/>
      <c r="SCW207" s="1316"/>
      <c r="SCX207" s="1315"/>
      <c r="SCY207" s="1315"/>
      <c r="SCZ207" s="1318"/>
      <c r="SDB207" s="1320"/>
      <c r="SDC207" s="1320"/>
      <c r="SDD207" s="1318"/>
      <c r="SDE207" s="1318"/>
      <c r="SDK207" s="1313"/>
      <c r="SDL207" s="1314"/>
      <c r="SDM207" s="1313"/>
      <c r="SDN207" s="1315"/>
      <c r="SDO207" s="1316"/>
      <c r="SDP207" s="1317"/>
      <c r="SDQ207" s="1316"/>
      <c r="SDR207" s="1316"/>
      <c r="SDS207" s="1315"/>
      <c r="SDT207" s="1315"/>
      <c r="SDU207" s="1318"/>
      <c r="SDW207" s="1320"/>
      <c r="SDX207" s="1320"/>
      <c r="SDY207" s="1318"/>
      <c r="SDZ207" s="1318"/>
      <c r="SEF207" s="1313"/>
      <c r="SEG207" s="1314"/>
      <c r="SEH207" s="1313"/>
      <c r="SEI207" s="1315"/>
      <c r="SEJ207" s="1316"/>
      <c r="SEK207" s="1317"/>
      <c r="SEL207" s="1316"/>
      <c r="SEM207" s="1316"/>
      <c r="SEN207" s="1315"/>
      <c r="SEO207" s="1315"/>
      <c r="SEP207" s="1318"/>
      <c r="SER207" s="1320"/>
      <c r="SES207" s="1320"/>
      <c r="SET207" s="1318"/>
      <c r="SEU207" s="1318"/>
      <c r="SFA207" s="1313"/>
      <c r="SFB207" s="1314"/>
      <c r="SFC207" s="1313"/>
      <c r="SFD207" s="1315"/>
      <c r="SFE207" s="1316"/>
      <c r="SFF207" s="1317"/>
      <c r="SFG207" s="1316"/>
      <c r="SFH207" s="1316"/>
      <c r="SFI207" s="1315"/>
      <c r="SFJ207" s="1315"/>
      <c r="SFK207" s="1318"/>
      <c r="SFM207" s="1320"/>
      <c r="SFN207" s="1320"/>
      <c r="SFO207" s="1318"/>
      <c r="SFP207" s="1318"/>
      <c r="SFV207" s="1313"/>
      <c r="SFW207" s="1314"/>
      <c r="SFX207" s="1313"/>
      <c r="SFY207" s="1315"/>
      <c r="SFZ207" s="1316"/>
      <c r="SGA207" s="1317"/>
      <c r="SGB207" s="1316"/>
      <c r="SGC207" s="1316"/>
      <c r="SGD207" s="1315"/>
      <c r="SGE207" s="1315"/>
      <c r="SGF207" s="1318"/>
      <c r="SGH207" s="1320"/>
      <c r="SGI207" s="1320"/>
      <c r="SGJ207" s="1318"/>
      <c r="SGK207" s="1318"/>
      <c r="SGQ207" s="1313"/>
      <c r="SGR207" s="1314"/>
      <c r="SGS207" s="1313"/>
      <c r="SGT207" s="1315"/>
      <c r="SGU207" s="1316"/>
      <c r="SGV207" s="1317"/>
      <c r="SGW207" s="1316"/>
      <c r="SGX207" s="1316"/>
      <c r="SGY207" s="1315"/>
      <c r="SGZ207" s="1315"/>
      <c r="SHA207" s="1318"/>
      <c r="SHC207" s="1320"/>
      <c r="SHD207" s="1320"/>
      <c r="SHE207" s="1318"/>
      <c r="SHF207" s="1318"/>
      <c r="SHL207" s="1313"/>
      <c r="SHM207" s="1314"/>
      <c r="SHN207" s="1313"/>
      <c r="SHO207" s="1315"/>
      <c r="SHP207" s="1316"/>
      <c r="SHQ207" s="1317"/>
      <c r="SHR207" s="1316"/>
      <c r="SHS207" s="1316"/>
      <c r="SHT207" s="1315"/>
      <c r="SHU207" s="1315"/>
      <c r="SHV207" s="1318"/>
      <c r="SHX207" s="1320"/>
      <c r="SHY207" s="1320"/>
      <c r="SHZ207" s="1318"/>
      <c r="SIA207" s="1318"/>
      <c r="SIG207" s="1313"/>
      <c r="SIH207" s="1314"/>
      <c r="SII207" s="1313"/>
      <c r="SIJ207" s="1315"/>
      <c r="SIK207" s="1316"/>
      <c r="SIL207" s="1317"/>
      <c r="SIM207" s="1316"/>
      <c r="SIN207" s="1316"/>
      <c r="SIO207" s="1315"/>
      <c r="SIP207" s="1315"/>
      <c r="SIQ207" s="1318"/>
      <c r="SIS207" s="1320"/>
      <c r="SIT207" s="1320"/>
      <c r="SIU207" s="1318"/>
      <c r="SIV207" s="1318"/>
      <c r="SJB207" s="1313"/>
      <c r="SJC207" s="1314"/>
      <c r="SJD207" s="1313"/>
      <c r="SJE207" s="1315"/>
      <c r="SJF207" s="1316"/>
      <c r="SJG207" s="1317"/>
      <c r="SJH207" s="1316"/>
      <c r="SJI207" s="1316"/>
      <c r="SJJ207" s="1315"/>
      <c r="SJK207" s="1315"/>
      <c r="SJL207" s="1318"/>
      <c r="SJN207" s="1320"/>
      <c r="SJO207" s="1320"/>
      <c r="SJP207" s="1318"/>
      <c r="SJQ207" s="1318"/>
      <c r="SJW207" s="1313"/>
      <c r="SJX207" s="1314"/>
      <c r="SJY207" s="1313"/>
      <c r="SJZ207" s="1315"/>
      <c r="SKA207" s="1316"/>
      <c r="SKB207" s="1317"/>
      <c r="SKC207" s="1316"/>
      <c r="SKD207" s="1316"/>
      <c r="SKE207" s="1315"/>
      <c r="SKF207" s="1315"/>
      <c r="SKG207" s="1318"/>
      <c r="SKI207" s="1320"/>
      <c r="SKJ207" s="1320"/>
      <c r="SKK207" s="1318"/>
      <c r="SKL207" s="1318"/>
      <c r="SKR207" s="1313"/>
      <c r="SKS207" s="1314"/>
      <c r="SKT207" s="1313"/>
      <c r="SKU207" s="1315"/>
      <c r="SKV207" s="1316"/>
      <c r="SKW207" s="1317"/>
      <c r="SKX207" s="1316"/>
      <c r="SKY207" s="1316"/>
      <c r="SKZ207" s="1315"/>
      <c r="SLA207" s="1315"/>
      <c r="SLB207" s="1318"/>
      <c r="SLD207" s="1320"/>
      <c r="SLE207" s="1320"/>
      <c r="SLF207" s="1318"/>
      <c r="SLG207" s="1318"/>
      <c r="SLM207" s="1313"/>
      <c r="SLN207" s="1314"/>
      <c r="SLO207" s="1313"/>
      <c r="SLP207" s="1315"/>
      <c r="SLQ207" s="1316"/>
      <c r="SLR207" s="1317"/>
      <c r="SLS207" s="1316"/>
      <c r="SLT207" s="1316"/>
      <c r="SLU207" s="1315"/>
      <c r="SLV207" s="1315"/>
      <c r="SLW207" s="1318"/>
      <c r="SLY207" s="1320"/>
      <c r="SLZ207" s="1320"/>
      <c r="SMA207" s="1318"/>
      <c r="SMB207" s="1318"/>
      <c r="SMH207" s="1313"/>
      <c r="SMI207" s="1314"/>
      <c r="SMJ207" s="1313"/>
      <c r="SMK207" s="1315"/>
      <c r="SML207" s="1316"/>
      <c r="SMM207" s="1317"/>
      <c r="SMN207" s="1316"/>
      <c r="SMO207" s="1316"/>
      <c r="SMP207" s="1315"/>
      <c r="SMQ207" s="1315"/>
      <c r="SMR207" s="1318"/>
      <c r="SMT207" s="1320"/>
      <c r="SMU207" s="1320"/>
      <c r="SMV207" s="1318"/>
      <c r="SMW207" s="1318"/>
      <c r="SNC207" s="1313"/>
      <c r="SND207" s="1314"/>
      <c r="SNE207" s="1313"/>
      <c r="SNF207" s="1315"/>
      <c r="SNG207" s="1316"/>
      <c r="SNH207" s="1317"/>
      <c r="SNI207" s="1316"/>
      <c r="SNJ207" s="1316"/>
      <c r="SNK207" s="1315"/>
      <c r="SNL207" s="1315"/>
      <c r="SNM207" s="1318"/>
      <c r="SNO207" s="1320"/>
      <c r="SNP207" s="1320"/>
      <c r="SNQ207" s="1318"/>
      <c r="SNR207" s="1318"/>
      <c r="SNX207" s="1313"/>
      <c r="SNY207" s="1314"/>
      <c r="SNZ207" s="1313"/>
      <c r="SOA207" s="1315"/>
      <c r="SOB207" s="1316"/>
      <c r="SOC207" s="1317"/>
      <c r="SOD207" s="1316"/>
      <c r="SOE207" s="1316"/>
      <c r="SOF207" s="1315"/>
      <c r="SOG207" s="1315"/>
      <c r="SOH207" s="1318"/>
      <c r="SOJ207" s="1320"/>
      <c r="SOK207" s="1320"/>
      <c r="SOL207" s="1318"/>
      <c r="SOM207" s="1318"/>
      <c r="SOS207" s="1313"/>
      <c r="SOT207" s="1314"/>
      <c r="SOU207" s="1313"/>
      <c r="SOV207" s="1315"/>
      <c r="SOW207" s="1316"/>
      <c r="SOX207" s="1317"/>
      <c r="SOY207" s="1316"/>
      <c r="SOZ207" s="1316"/>
      <c r="SPA207" s="1315"/>
      <c r="SPB207" s="1315"/>
      <c r="SPC207" s="1318"/>
      <c r="SPE207" s="1320"/>
      <c r="SPF207" s="1320"/>
      <c r="SPG207" s="1318"/>
      <c r="SPH207" s="1318"/>
      <c r="SPN207" s="1313"/>
      <c r="SPO207" s="1314"/>
      <c r="SPP207" s="1313"/>
      <c r="SPQ207" s="1315"/>
      <c r="SPR207" s="1316"/>
      <c r="SPS207" s="1317"/>
      <c r="SPT207" s="1316"/>
      <c r="SPU207" s="1316"/>
      <c r="SPV207" s="1315"/>
      <c r="SPW207" s="1315"/>
      <c r="SPX207" s="1318"/>
      <c r="SPZ207" s="1320"/>
      <c r="SQA207" s="1320"/>
      <c r="SQB207" s="1318"/>
      <c r="SQC207" s="1318"/>
      <c r="SQI207" s="1313"/>
      <c r="SQJ207" s="1314"/>
      <c r="SQK207" s="1313"/>
      <c r="SQL207" s="1315"/>
      <c r="SQM207" s="1316"/>
      <c r="SQN207" s="1317"/>
      <c r="SQO207" s="1316"/>
      <c r="SQP207" s="1316"/>
      <c r="SQQ207" s="1315"/>
      <c r="SQR207" s="1315"/>
      <c r="SQS207" s="1318"/>
      <c r="SQU207" s="1320"/>
      <c r="SQV207" s="1320"/>
      <c r="SQW207" s="1318"/>
      <c r="SQX207" s="1318"/>
      <c r="SRD207" s="1313"/>
      <c r="SRE207" s="1314"/>
      <c r="SRF207" s="1313"/>
      <c r="SRG207" s="1315"/>
      <c r="SRH207" s="1316"/>
      <c r="SRI207" s="1317"/>
      <c r="SRJ207" s="1316"/>
      <c r="SRK207" s="1316"/>
      <c r="SRL207" s="1315"/>
      <c r="SRM207" s="1315"/>
      <c r="SRN207" s="1318"/>
      <c r="SRP207" s="1320"/>
      <c r="SRQ207" s="1320"/>
      <c r="SRR207" s="1318"/>
      <c r="SRS207" s="1318"/>
      <c r="SRY207" s="1313"/>
      <c r="SRZ207" s="1314"/>
      <c r="SSA207" s="1313"/>
      <c r="SSB207" s="1315"/>
      <c r="SSC207" s="1316"/>
      <c r="SSD207" s="1317"/>
      <c r="SSE207" s="1316"/>
      <c r="SSF207" s="1316"/>
      <c r="SSG207" s="1315"/>
      <c r="SSH207" s="1315"/>
      <c r="SSI207" s="1318"/>
      <c r="SSK207" s="1320"/>
      <c r="SSL207" s="1320"/>
      <c r="SSM207" s="1318"/>
      <c r="SSN207" s="1318"/>
      <c r="SST207" s="1313"/>
      <c r="SSU207" s="1314"/>
      <c r="SSV207" s="1313"/>
      <c r="SSW207" s="1315"/>
      <c r="SSX207" s="1316"/>
      <c r="SSY207" s="1317"/>
      <c r="SSZ207" s="1316"/>
      <c r="STA207" s="1316"/>
      <c r="STB207" s="1315"/>
      <c r="STC207" s="1315"/>
      <c r="STD207" s="1318"/>
      <c r="STF207" s="1320"/>
      <c r="STG207" s="1320"/>
      <c r="STH207" s="1318"/>
      <c r="STI207" s="1318"/>
      <c r="STO207" s="1313"/>
      <c r="STP207" s="1314"/>
      <c r="STQ207" s="1313"/>
      <c r="STR207" s="1315"/>
      <c r="STS207" s="1316"/>
      <c r="STT207" s="1317"/>
      <c r="STU207" s="1316"/>
      <c r="STV207" s="1316"/>
      <c r="STW207" s="1315"/>
      <c r="STX207" s="1315"/>
      <c r="STY207" s="1318"/>
      <c r="SUA207" s="1320"/>
      <c r="SUB207" s="1320"/>
      <c r="SUC207" s="1318"/>
      <c r="SUD207" s="1318"/>
      <c r="SUJ207" s="1313"/>
      <c r="SUK207" s="1314"/>
      <c r="SUL207" s="1313"/>
      <c r="SUM207" s="1315"/>
      <c r="SUN207" s="1316"/>
      <c r="SUO207" s="1317"/>
      <c r="SUP207" s="1316"/>
      <c r="SUQ207" s="1316"/>
      <c r="SUR207" s="1315"/>
      <c r="SUS207" s="1315"/>
      <c r="SUT207" s="1318"/>
      <c r="SUV207" s="1320"/>
      <c r="SUW207" s="1320"/>
      <c r="SUX207" s="1318"/>
      <c r="SUY207" s="1318"/>
      <c r="SVE207" s="1313"/>
      <c r="SVF207" s="1314"/>
      <c r="SVG207" s="1313"/>
      <c r="SVH207" s="1315"/>
      <c r="SVI207" s="1316"/>
      <c r="SVJ207" s="1317"/>
      <c r="SVK207" s="1316"/>
      <c r="SVL207" s="1316"/>
      <c r="SVM207" s="1315"/>
      <c r="SVN207" s="1315"/>
      <c r="SVO207" s="1318"/>
      <c r="SVQ207" s="1320"/>
      <c r="SVR207" s="1320"/>
      <c r="SVS207" s="1318"/>
      <c r="SVT207" s="1318"/>
      <c r="SVZ207" s="1313"/>
      <c r="SWA207" s="1314"/>
      <c r="SWB207" s="1313"/>
      <c r="SWC207" s="1315"/>
      <c r="SWD207" s="1316"/>
      <c r="SWE207" s="1317"/>
      <c r="SWF207" s="1316"/>
      <c r="SWG207" s="1316"/>
      <c r="SWH207" s="1315"/>
      <c r="SWI207" s="1315"/>
      <c r="SWJ207" s="1318"/>
      <c r="SWL207" s="1320"/>
      <c r="SWM207" s="1320"/>
      <c r="SWN207" s="1318"/>
      <c r="SWO207" s="1318"/>
      <c r="SWU207" s="1313"/>
      <c r="SWV207" s="1314"/>
      <c r="SWW207" s="1313"/>
      <c r="SWX207" s="1315"/>
      <c r="SWY207" s="1316"/>
      <c r="SWZ207" s="1317"/>
      <c r="SXA207" s="1316"/>
      <c r="SXB207" s="1316"/>
      <c r="SXC207" s="1315"/>
      <c r="SXD207" s="1315"/>
      <c r="SXE207" s="1318"/>
      <c r="SXG207" s="1320"/>
      <c r="SXH207" s="1320"/>
      <c r="SXI207" s="1318"/>
      <c r="SXJ207" s="1318"/>
      <c r="SXP207" s="1313"/>
      <c r="SXQ207" s="1314"/>
      <c r="SXR207" s="1313"/>
      <c r="SXS207" s="1315"/>
      <c r="SXT207" s="1316"/>
      <c r="SXU207" s="1317"/>
      <c r="SXV207" s="1316"/>
      <c r="SXW207" s="1316"/>
      <c r="SXX207" s="1315"/>
      <c r="SXY207" s="1315"/>
      <c r="SXZ207" s="1318"/>
      <c r="SYB207" s="1320"/>
      <c r="SYC207" s="1320"/>
      <c r="SYD207" s="1318"/>
      <c r="SYE207" s="1318"/>
      <c r="SYK207" s="1313"/>
      <c r="SYL207" s="1314"/>
      <c r="SYM207" s="1313"/>
      <c r="SYN207" s="1315"/>
      <c r="SYO207" s="1316"/>
      <c r="SYP207" s="1317"/>
      <c r="SYQ207" s="1316"/>
      <c r="SYR207" s="1316"/>
      <c r="SYS207" s="1315"/>
      <c r="SYT207" s="1315"/>
      <c r="SYU207" s="1318"/>
      <c r="SYW207" s="1320"/>
      <c r="SYX207" s="1320"/>
      <c r="SYY207" s="1318"/>
      <c r="SYZ207" s="1318"/>
      <c r="SZF207" s="1313"/>
      <c r="SZG207" s="1314"/>
      <c r="SZH207" s="1313"/>
      <c r="SZI207" s="1315"/>
      <c r="SZJ207" s="1316"/>
      <c r="SZK207" s="1317"/>
      <c r="SZL207" s="1316"/>
      <c r="SZM207" s="1316"/>
      <c r="SZN207" s="1315"/>
      <c r="SZO207" s="1315"/>
      <c r="SZP207" s="1318"/>
      <c r="SZR207" s="1320"/>
      <c r="SZS207" s="1320"/>
      <c r="SZT207" s="1318"/>
      <c r="SZU207" s="1318"/>
      <c r="TAA207" s="1313"/>
      <c r="TAB207" s="1314"/>
      <c r="TAC207" s="1313"/>
      <c r="TAD207" s="1315"/>
      <c r="TAE207" s="1316"/>
      <c r="TAF207" s="1317"/>
      <c r="TAG207" s="1316"/>
      <c r="TAH207" s="1316"/>
      <c r="TAI207" s="1315"/>
      <c r="TAJ207" s="1315"/>
      <c r="TAK207" s="1318"/>
      <c r="TAM207" s="1320"/>
      <c r="TAN207" s="1320"/>
      <c r="TAO207" s="1318"/>
      <c r="TAP207" s="1318"/>
      <c r="TAV207" s="1313"/>
      <c r="TAW207" s="1314"/>
      <c r="TAX207" s="1313"/>
      <c r="TAY207" s="1315"/>
      <c r="TAZ207" s="1316"/>
      <c r="TBA207" s="1317"/>
      <c r="TBB207" s="1316"/>
      <c r="TBC207" s="1316"/>
      <c r="TBD207" s="1315"/>
      <c r="TBE207" s="1315"/>
      <c r="TBF207" s="1318"/>
      <c r="TBH207" s="1320"/>
      <c r="TBI207" s="1320"/>
      <c r="TBJ207" s="1318"/>
      <c r="TBK207" s="1318"/>
      <c r="TBQ207" s="1313"/>
      <c r="TBR207" s="1314"/>
      <c r="TBS207" s="1313"/>
      <c r="TBT207" s="1315"/>
      <c r="TBU207" s="1316"/>
      <c r="TBV207" s="1317"/>
      <c r="TBW207" s="1316"/>
      <c r="TBX207" s="1316"/>
      <c r="TBY207" s="1315"/>
      <c r="TBZ207" s="1315"/>
      <c r="TCA207" s="1318"/>
      <c r="TCC207" s="1320"/>
      <c r="TCD207" s="1320"/>
      <c r="TCE207" s="1318"/>
      <c r="TCF207" s="1318"/>
      <c r="TCL207" s="1313"/>
      <c r="TCM207" s="1314"/>
      <c r="TCN207" s="1313"/>
      <c r="TCO207" s="1315"/>
      <c r="TCP207" s="1316"/>
      <c r="TCQ207" s="1317"/>
      <c r="TCR207" s="1316"/>
      <c r="TCS207" s="1316"/>
      <c r="TCT207" s="1315"/>
      <c r="TCU207" s="1315"/>
      <c r="TCV207" s="1318"/>
      <c r="TCX207" s="1320"/>
      <c r="TCY207" s="1320"/>
      <c r="TCZ207" s="1318"/>
      <c r="TDA207" s="1318"/>
      <c r="TDG207" s="1313"/>
      <c r="TDH207" s="1314"/>
      <c r="TDI207" s="1313"/>
      <c r="TDJ207" s="1315"/>
      <c r="TDK207" s="1316"/>
      <c r="TDL207" s="1317"/>
      <c r="TDM207" s="1316"/>
      <c r="TDN207" s="1316"/>
      <c r="TDO207" s="1315"/>
      <c r="TDP207" s="1315"/>
      <c r="TDQ207" s="1318"/>
      <c r="TDS207" s="1320"/>
      <c r="TDT207" s="1320"/>
      <c r="TDU207" s="1318"/>
      <c r="TDV207" s="1318"/>
      <c r="TEB207" s="1313"/>
      <c r="TEC207" s="1314"/>
      <c r="TED207" s="1313"/>
      <c r="TEE207" s="1315"/>
      <c r="TEF207" s="1316"/>
      <c r="TEG207" s="1317"/>
      <c r="TEH207" s="1316"/>
      <c r="TEI207" s="1316"/>
      <c r="TEJ207" s="1315"/>
      <c r="TEK207" s="1315"/>
      <c r="TEL207" s="1318"/>
      <c r="TEN207" s="1320"/>
      <c r="TEO207" s="1320"/>
      <c r="TEP207" s="1318"/>
      <c r="TEQ207" s="1318"/>
      <c r="TEW207" s="1313"/>
      <c r="TEX207" s="1314"/>
      <c r="TEY207" s="1313"/>
      <c r="TEZ207" s="1315"/>
      <c r="TFA207" s="1316"/>
      <c r="TFB207" s="1317"/>
      <c r="TFC207" s="1316"/>
      <c r="TFD207" s="1316"/>
      <c r="TFE207" s="1315"/>
      <c r="TFF207" s="1315"/>
      <c r="TFG207" s="1318"/>
      <c r="TFI207" s="1320"/>
      <c r="TFJ207" s="1320"/>
      <c r="TFK207" s="1318"/>
      <c r="TFL207" s="1318"/>
      <c r="TFR207" s="1313"/>
      <c r="TFS207" s="1314"/>
      <c r="TFT207" s="1313"/>
      <c r="TFU207" s="1315"/>
      <c r="TFV207" s="1316"/>
      <c r="TFW207" s="1317"/>
      <c r="TFX207" s="1316"/>
      <c r="TFY207" s="1316"/>
      <c r="TFZ207" s="1315"/>
      <c r="TGA207" s="1315"/>
      <c r="TGB207" s="1318"/>
      <c r="TGD207" s="1320"/>
      <c r="TGE207" s="1320"/>
      <c r="TGF207" s="1318"/>
      <c r="TGG207" s="1318"/>
      <c r="TGM207" s="1313"/>
      <c r="TGN207" s="1314"/>
      <c r="TGO207" s="1313"/>
      <c r="TGP207" s="1315"/>
      <c r="TGQ207" s="1316"/>
      <c r="TGR207" s="1317"/>
      <c r="TGS207" s="1316"/>
      <c r="TGT207" s="1316"/>
      <c r="TGU207" s="1315"/>
      <c r="TGV207" s="1315"/>
      <c r="TGW207" s="1318"/>
      <c r="TGY207" s="1320"/>
      <c r="TGZ207" s="1320"/>
      <c r="THA207" s="1318"/>
      <c r="THB207" s="1318"/>
      <c r="THH207" s="1313"/>
      <c r="THI207" s="1314"/>
      <c r="THJ207" s="1313"/>
      <c r="THK207" s="1315"/>
      <c r="THL207" s="1316"/>
      <c r="THM207" s="1317"/>
      <c r="THN207" s="1316"/>
      <c r="THO207" s="1316"/>
      <c r="THP207" s="1315"/>
      <c r="THQ207" s="1315"/>
      <c r="THR207" s="1318"/>
      <c r="THT207" s="1320"/>
      <c r="THU207" s="1320"/>
      <c r="THV207" s="1318"/>
      <c r="THW207" s="1318"/>
      <c r="TIC207" s="1313"/>
      <c r="TID207" s="1314"/>
      <c r="TIE207" s="1313"/>
      <c r="TIF207" s="1315"/>
      <c r="TIG207" s="1316"/>
      <c r="TIH207" s="1317"/>
      <c r="TII207" s="1316"/>
      <c r="TIJ207" s="1316"/>
      <c r="TIK207" s="1315"/>
      <c r="TIL207" s="1315"/>
      <c r="TIM207" s="1318"/>
      <c r="TIO207" s="1320"/>
      <c r="TIP207" s="1320"/>
      <c r="TIQ207" s="1318"/>
      <c r="TIR207" s="1318"/>
      <c r="TIX207" s="1313"/>
      <c r="TIY207" s="1314"/>
      <c r="TIZ207" s="1313"/>
      <c r="TJA207" s="1315"/>
      <c r="TJB207" s="1316"/>
      <c r="TJC207" s="1317"/>
      <c r="TJD207" s="1316"/>
      <c r="TJE207" s="1316"/>
      <c r="TJF207" s="1315"/>
      <c r="TJG207" s="1315"/>
      <c r="TJH207" s="1318"/>
      <c r="TJJ207" s="1320"/>
      <c r="TJK207" s="1320"/>
      <c r="TJL207" s="1318"/>
      <c r="TJM207" s="1318"/>
      <c r="TJS207" s="1313"/>
      <c r="TJT207" s="1314"/>
      <c r="TJU207" s="1313"/>
      <c r="TJV207" s="1315"/>
      <c r="TJW207" s="1316"/>
      <c r="TJX207" s="1317"/>
      <c r="TJY207" s="1316"/>
      <c r="TJZ207" s="1316"/>
      <c r="TKA207" s="1315"/>
      <c r="TKB207" s="1315"/>
      <c r="TKC207" s="1318"/>
      <c r="TKE207" s="1320"/>
      <c r="TKF207" s="1320"/>
      <c r="TKG207" s="1318"/>
      <c r="TKH207" s="1318"/>
      <c r="TKN207" s="1313"/>
      <c r="TKO207" s="1314"/>
      <c r="TKP207" s="1313"/>
      <c r="TKQ207" s="1315"/>
      <c r="TKR207" s="1316"/>
      <c r="TKS207" s="1317"/>
      <c r="TKT207" s="1316"/>
      <c r="TKU207" s="1316"/>
      <c r="TKV207" s="1315"/>
      <c r="TKW207" s="1315"/>
      <c r="TKX207" s="1318"/>
      <c r="TKZ207" s="1320"/>
      <c r="TLA207" s="1320"/>
      <c r="TLB207" s="1318"/>
      <c r="TLC207" s="1318"/>
      <c r="TLI207" s="1313"/>
      <c r="TLJ207" s="1314"/>
      <c r="TLK207" s="1313"/>
      <c r="TLL207" s="1315"/>
      <c r="TLM207" s="1316"/>
      <c r="TLN207" s="1317"/>
      <c r="TLO207" s="1316"/>
      <c r="TLP207" s="1316"/>
      <c r="TLQ207" s="1315"/>
      <c r="TLR207" s="1315"/>
      <c r="TLS207" s="1318"/>
      <c r="TLU207" s="1320"/>
      <c r="TLV207" s="1320"/>
      <c r="TLW207" s="1318"/>
      <c r="TLX207" s="1318"/>
      <c r="TMD207" s="1313"/>
      <c r="TME207" s="1314"/>
      <c r="TMF207" s="1313"/>
      <c r="TMG207" s="1315"/>
      <c r="TMH207" s="1316"/>
      <c r="TMI207" s="1317"/>
      <c r="TMJ207" s="1316"/>
      <c r="TMK207" s="1316"/>
      <c r="TML207" s="1315"/>
      <c r="TMM207" s="1315"/>
      <c r="TMN207" s="1318"/>
      <c r="TMP207" s="1320"/>
      <c r="TMQ207" s="1320"/>
      <c r="TMR207" s="1318"/>
      <c r="TMS207" s="1318"/>
      <c r="TMY207" s="1313"/>
      <c r="TMZ207" s="1314"/>
      <c r="TNA207" s="1313"/>
      <c r="TNB207" s="1315"/>
      <c r="TNC207" s="1316"/>
      <c r="TND207" s="1317"/>
      <c r="TNE207" s="1316"/>
      <c r="TNF207" s="1316"/>
      <c r="TNG207" s="1315"/>
      <c r="TNH207" s="1315"/>
      <c r="TNI207" s="1318"/>
      <c r="TNK207" s="1320"/>
      <c r="TNL207" s="1320"/>
      <c r="TNM207" s="1318"/>
      <c r="TNN207" s="1318"/>
      <c r="TNT207" s="1313"/>
      <c r="TNU207" s="1314"/>
      <c r="TNV207" s="1313"/>
      <c r="TNW207" s="1315"/>
      <c r="TNX207" s="1316"/>
      <c r="TNY207" s="1317"/>
      <c r="TNZ207" s="1316"/>
      <c r="TOA207" s="1316"/>
      <c r="TOB207" s="1315"/>
      <c r="TOC207" s="1315"/>
      <c r="TOD207" s="1318"/>
      <c r="TOF207" s="1320"/>
      <c r="TOG207" s="1320"/>
      <c r="TOH207" s="1318"/>
      <c r="TOI207" s="1318"/>
      <c r="TOO207" s="1313"/>
      <c r="TOP207" s="1314"/>
      <c r="TOQ207" s="1313"/>
      <c r="TOR207" s="1315"/>
      <c r="TOS207" s="1316"/>
      <c r="TOT207" s="1317"/>
      <c r="TOU207" s="1316"/>
      <c r="TOV207" s="1316"/>
      <c r="TOW207" s="1315"/>
      <c r="TOX207" s="1315"/>
      <c r="TOY207" s="1318"/>
      <c r="TPA207" s="1320"/>
      <c r="TPB207" s="1320"/>
      <c r="TPC207" s="1318"/>
      <c r="TPD207" s="1318"/>
      <c r="TPJ207" s="1313"/>
      <c r="TPK207" s="1314"/>
      <c r="TPL207" s="1313"/>
      <c r="TPM207" s="1315"/>
      <c r="TPN207" s="1316"/>
      <c r="TPO207" s="1317"/>
      <c r="TPP207" s="1316"/>
      <c r="TPQ207" s="1316"/>
      <c r="TPR207" s="1315"/>
      <c r="TPS207" s="1315"/>
      <c r="TPT207" s="1318"/>
      <c r="TPV207" s="1320"/>
      <c r="TPW207" s="1320"/>
      <c r="TPX207" s="1318"/>
      <c r="TPY207" s="1318"/>
      <c r="TQE207" s="1313"/>
      <c r="TQF207" s="1314"/>
      <c r="TQG207" s="1313"/>
      <c r="TQH207" s="1315"/>
      <c r="TQI207" s="1316"/>
      <c r="TQJ207" s="1317"/>
      <c r="TQK207" s="1316"/>
      <c r="TQL207" s="1316"/>
      <c r="TQM207" s="1315"/>
      <c r="TQN207" s="1315"/>
      <c r="TQO207" s="1318"/>
      <c r="TQQ207" s="1320"/>
      <c r="TQR207" s="1320"/>
      <c r="TQS207" s="1318"/>
      <c r="TQT207" s="1318"/>
      <c r="TQZ207" s="1313"/>
      <c r="TRA207" s="1314"/>
      <c r="TRB207" s="1313"/>
      <c r="TRC207" s="1315"/>
      <c r="TRD207" s="1316"/>
      <c r="TRE207" s="1317"/>
      <c r="TRF207" s="1316"/>
      <c r="TRG207" s="1316"/>
      <c r="TRH207" s="1315"/>
      <c r="TRI207" s="1315"/>
      <c r="TRJ207" s="1318"/>
      <c r="TRL207" s="1320"/>
      <c r="TRM207" s="1320"/>
      <c r="TRN207" s="1318"/>
      <c r="TRO207" s="1318"/>
      <c r="TRU207" s="1313"/>
      <c r="TRV207" s="1314"/>
      <c r="TRW207" s="1313"/>
      <c r="TRX207" s="1315"/>
      <c r="TRY207" s="1316"/>
      <c r="TRZ207" s="1317"/>
      <c r="TSA207" s="1316"/>
      <c r="TSB207" s="1316"/>
      <c r="TSC207" s="1315"/>
      <c r="TSD207" s="1315"/>
      <c r="TSE207" s="1318"/>
      <c r="TSG207" s="1320"/>
      <c r="TSH207" s="1320"/>
      <c r="TSI207" s="1318"/>
      <c r="TSJ207" s="1318"/>
      <c r="TSP207" s="1313"/>
      <c r="TSQ207" s="1314"/>
      <c r="TSR207" s="1313"/>
      <c r="TSS207" s="1315"/>
      <c r="TST207" s="1316"/>
      <c r="TSU207" s="1317"/>
      <c r="TSV207" s="1316"/>
      <c r="TSW207" s="1316"/>
      <c r="TSX207" s="1315"/>
      <c r="TSY207" s="1315"/>
      <c r="TSZ207" s="1318"/>
      <c r="TTB207" s="1320"/>
      <c r="TTC207" s="1320"/>
      <c r="TTD207" s="1318"/>
      <c r="TTE207" s="1318"/>
      <c r="TTK207" s="1313"/>
      <c r="TTL207" s="1314"/>
      <c r="TTM207" s="1313"/>
      <c r="TTN207" s="1315"/>
      <c r="TTO207" s="1316"/>
      <c r="TTP207" s="1317"/>
      <c r="TTQ207" s="1316"/>
      <c r="TTR207" s="1316"/>
      <c r="TTS207" s="1315"/>
      <c r="TTT207" s="1315"/>
      <c r="TTU207" s="1318"/>
      <c r="TTW207" s="1320"/>
      <c r="TTX207" s="1320"/>
      <c r="TTY207" s="1318"/>
      <c r="TTZ207" s="1318"/>
      <c r="TUF207" s="1313"/>
      <c r="TUG207" s="1314"/>
      <c r="TUH207" s="1313"/>
      <c r="TUI207" s="1315"/>
      <c r="TUJ207" s="1316"/>
      <c r="TUK207" s="1317"/>
      <c r="TUL207" s="1316"/>
      <c r="TUM207" s="1316"/>
      <c r="TUN207" s="1315"/>
      <c r="TUO207" s="1315"/>
      <c r="TUP207" s="1318"/>
      <c r="TUR207" s="1320"/>
      <c r="TUS207" s="1320"/>
      <c r="TUT207" s="1318"/>
      <c r="TUU207" s="1318"/>
      <c r="TVA207" s="1313"/>
      <c r="TVB207" s="1314"/>
      <c r="TVC207" s="1313"/>
      <c r="TVD207" s="1315"/>
      <c r="TVE207" s="1316"/>
      <c r="TVF207" s="1317"/>
      <c r="TVG207" s="1316"/>
      <c r="TVH207" s="1316"/>
      <c r="TVI207" s="1315"/>
      <c r="TVJ207" s="1315"/>
      <c r="TVK207" s="1318"/>
      <c r="TVM207" s="1320"/>
      <c r="TVN207" s="1320"/>
      <c r="TVO207" s="1318"/>
      <c r="TVP207" s="1318"/>
      <c r="TVV207" s="1313"/>
      <c r="TVW207" s="1314"/>
      <c r="TVX207" s="1313"/>
      <c r="TVY207" s="1315"/>
      <c r="TVZ207" s="1316"/>
      <c r="TWA207" s="1317"/>
      <c r="TWB207" s="1316"/>
      <c r="TWC207" s="1316"/>
      <c r="TWD207" s="1315"/>
      <c r="TWE207" s="1315"/>
      <c r="TWF207" s="1318"/>
      <c r="TWH207" s="1320"/>
      <c r="TWI207" s="1320"/>
      <c r="TWJ207" s="1318"/>
      <c r="TWK207" s="1318"/>
      <c r="TWQ207" s="1313"/>
      <c r="TWR207" s="1314"/>
      <c r="TWS207" s="1313"/>
      <c r="TWT207" s="1315"/>
      <c r="TWU207" s="1316"/>
      <c r="TWV207" s="1317"/>
      <c r="TWW207" s="1316"/>
      <c r="TWX207" s="1316"/>
      <c r="TWY207" s="1315"/>
      <c r="TWZ207" s="1315"/>
      <c r="TXA207" s="1318"/>
      <c r="TXC207" s="1320"/>
      <c r="TXD207" s="1320"/>
      <c r="TXE207" s="1318"/>
      <c r="TXF207" s="1318"/>
      <c r="TXL207" s="1313"/>
      <c r="TXM207" s="1314"/>
      <c r="TXN207" s="1313"/>
      <c r="TXO207" s="1315"/>
      <c r="TXP207" s="1316"/>
      <c r="TXQ207" s="1317"/>
      <c r="TXR207" s="1316"/>
      <c r="TXS207" s="1316"/>
      <c r="TXT207" s="1315"/>
      <c r="TXU207" s="1315"/>
      <c r="TXV207" s="1318"/>
      <c r="TXX207" s="1320"/>
      <c r="TXY207" s="1320"/>
      <c r="TXZ207" s="1318"/>
      <c r="TYA207" s="1318"/>
      <c r="TYG207" s="1313"/>
      <c r="TYH207" s="1314"/>
      <c r="TYI207" s="1313"/>
      <c r="TYJ207" s="1315"/>
      <c r="TYK207" s="1316"/>
      <c r="TYL207" s="1317"/>
      <c r="TYM207" s="1316"/>
      <c r="TYN207" s="1316"/>
      <c r="TYO207" s="1315"/>
      <c r="TYP207" s="1315"/>
      <c r="TYQ207" s="1318"/>
      <c r="TYS207" s="1320"/>
      <c r="TYT207" s="1320"/>
      <c r="TYU207" s="1318"/>
      <c r="TYV207" s="1318"/>
      <c r="TZB207" s="1313"/>
      <c r="TZC207" s="1314"/>
      <c r="TZD207" s="1313"/>
      <c r="TZE207" s="1315"/>
      <c r="TZF207" s="1316"/>
      <c r="TZG207" s="1317"/>
      <c r="TZH207" s="1316"/>
      <c r="TZI207" s="1316"/>
      <c r="TZJ207" s="1315"/>
      <c r="TZK207" s="1315"/>
      <c r="TZL207" s="1318"/>
      <c r="TZN207" s="1320"/>
      <c r="TZO207" s="1320"/>
      <c r="TZP207" s="1318"/>
      <c r="TZQ207" s="1318"/>
      <c r="TZW207" s="1313"/>
      <c r="TZX207" s="1314"/>
      <c r="TZY207" s="1313"/>
      <c r="TZZ207" s="1315"/>
      <c r="UAA207" s="1316"/>
      <c r="UAB207" s="1317"/>
      <c r="UAC207" s="1316"/>
      <c r="UAD207" s="1316"/>
      <c r="UAE207" s="1315"/>
      <c r="UAF207" s="1315"/>
      <c r="UAG207" s="1318"/>
      <c r="UAI207" s="1320"/>
      <c r="UAJ207" s="1320"/>
      <c r="UAK207" s="1318"/>
      <c r="UAL207" s="1318"/>
      <c r="UAR207" s="1313"/>
      <c r="UAS207" s="1314"/>
      <c r="UAT207" s="1313"/>
      <c r="UAU207" s="1315"/>
      <c r="UAV207" s="1316"/>
      <c r="UAW207" s="1317"/>
      <c r="UAX207" s="1316"/>
      <c r="UAY207" s="1316"/>
      <c r="UAZ207" s="1315"/>
      <c r="UBA207" s="1315"/>
      <c r="UBB207" s="1318"/>
      <c r="UBD207" s="1320"/>
      <c r="UBE207" s="1320"/>
      <c r="UBF207" s="1318"/>
      <c r="UBG207" s="1318"/>
      <c r="UBM207" s="1313"/>
      <c r="UBN207" s="1314"/>
      <c r="UBO207" s="1313"/>
      <c r="UBP207" s="1315"/>
      <c r="UBQ207" s="1316"/>
      <c r="UBR207" s="1317"/>
      <c r="UBS207" s="1316"/>
      <c r="UBT207" s="1316"/>
      <c r="UBU207" s="1315"/>
      <c r="UBV207" s="1315"/>
      <c r="UBW207" s="1318"/>
      <c r="UBY207" s="1320"/>
      <c r="UBZ207" s="1320"/>
      <c r="UCA207" s="1318"/>
      <c r="UCB207" s="1318"/>
      <c r="UCH207" s="1313"/>
      <c r="UCI207" s="1314"/>
      <c r="UCJ207" s="1313"/>
      <c r="UCK207" s="1315"/>
      <c r="UCL207" s="1316"/>
      <c r="UCM207" s="1317"/>
      <c r="UCN207" s="1316"/>
      <c r="UCO207" s="1316"/>
      <c r="UCP207" s="1315"/>
      <c r="UCQ207" s="1315"/>
      <c r="UCR207" s="1318"/>
      <c r="UCT207" s="1320"/>
      <c r="UCU207" s="1320"/>
      <c r="UCV207" s="1318"/>
      <c r="UCW207" s="1318"/>
      <c r="UDC207" s="1313"/>
      <c r="UDD207" s="1314"/>
      <c r="UDE207" s="1313"/>
      <c r="UDF207" s="1315"/>
      <c r="UDG207" s="1316"/>
      <c r="UDH207" s="1317"/>
      <c r="UDI207" s="1316"/>
      <c r="UDJ207" s="1316"/>
      <c r="UDK207" s="1315"/>
      <c r="UDL207" s="1315"/>
      <c r="UDM207" s="1318"/>
      <c r="UDO207" s="1320"/>
      <c r="UDP207" s="1320"/>
      <c r="UDQ207" s="1318"/>
      <c r="UDR207" s="1318"/>
      <c r="UDX207" s="1313"/>
      <c r="UDY207" s="1314"/>
      <c r="UDZ207" s="1313"/>
      <c r="UEA207" s="1315"/>
      <c r="UEB207" s="1316"/>
      <c r="UEC207" s="1317"/>
      <c r="UED207" s="1316"/>
      <c r="UEE207" s="1316"/>
      <c r="UEF207" s="1315"/>
      <c r="UEG207" s="1315"/>
      <c r="UEH207" s="1318"/>
      <c r="UEJ207" s="1320"/>
      <c r="UEK207" s="1320"/>
      <c r="UEL207" s="1318"/>
      <c r="UEM207" s="1318"/>
      <c r="UES207" s="1313"/>
      <c r="UET207" s="1314"/>
      <c r="UEU207" s="1313"/>
      <c r="UEV207" s="1315"/>
      <c r="UEW207" s="1316"/>
      <c r="UEX207" s="1317"/>
      <c r="UEY207" s="1316"/>
      <c r="UEZ207" s="1316"/>
      <c r="UFA207" s="1315"/>
      <c r="UFB207" s="1315"/>
      <c r="UFC207" s="1318"/>
      <c r="UFE207" s="1320"/>
      <c r="UFF207" s="1320"/>
      <c r="UFG207" s="1318"/>
      <c r="UFH207" s="1318"/>
      <c r="UFN207" s="1313"/>
      <c r="UFO207" s="1314"/>
      <c r="UFP207" s="1313"/>
      <c r="UFQ207" s="1315"/>
      <c r="UFR207" s="1316"/>
      <c r="UFS207" s="1317"/>
      <c r="UFT207" s="1316"/>
      <c r="UFU207" s="1316"/>
      <c r="UFV207" s="1315"/>
      <c r="UFW207" s="1315"/>
      <c r="UFX207" s="1318"/>
      <c r="UFZ207" s="1320"/>
      <c r="UGA207" s="1320"/>
      <c r="UGB207" s="1318"/>
      <c r="UGC207" s="1318"/>
      <c r="UGI207" s="1313"/>
      <c r="UGJ207" s="1314"/>
      <c r="UGK207" s="1313"/>
      <c r="UGL207" s="1315"/>
      <c r="UGM207" s="1316"/>
      <c r="UGN207" s="1317"/>
      <c r="UGO207" s="1316"/>
      <c r="UGP207" s="1316"/>
      <c r="UGQ207" s="1315"/>
      <c r="UGR207" s="1315"/>
      <c r="UGS207" s="1318"/>
      <c r="UGU207" s="1320"/>
      <c r="UGV207" s="1320"/>
      <c r="UGW207" s="1318"/>
      <c r="UGX207" s="1318"/>
      <c r="UHD207" s="1313"/>
      <c r="UHE207" s="1314"/>
      <c r="UHF207" s="1313"/>
      <c r="UHG207" s="1315"/>
      <c r="UHH207" s="1316"/>
      <c r="UHI207" s="1317"/>
      <c r="UHJ207" s="1316"/>
      <c r="UHK207" s="1316"/>
      <c r="UHL207" s="1315"/>
      <c r="UHM207" s="1315"/>
      <c r="UHN207" s="1318"/>
      <c r="UHP207" s="1320"/>
      <c r="UHQ207" s="1320"/>
      <c r="UHR207" s="1318"/>
      <c r="UHS207" s="1318"/>
      <c r="UHY207" s="1313"/>
      <c r="UHZ207" s="1314"/>
      <c r="UIA207" s="1313"/>
      <c r="UIB207" s="1315"/>
      <c r="UIC207" s="1316"/>
      <c r="UID207" s="1317"/>
      <c r="UIE207" s="1316"/>
      <c r="UIF207" s="1316"/>
      <c r="UIG207" s="1315"/>
      <c r="UIH207" s="1315"/>
      <c r="UII207" s="1318"/>
      <c r="UIK207" s="1320"/>
      <c r="UIL207" s="1320"/>
      <c r="UIM207" s="1318"/>
      <c r="UIN207" s="1318"/>
      <c r="UIT207" s="1313"/>
      <c r="UIU207" s="1314"/>
      <c r="UIV207" s="1313"/>
      <c r="UIW207" s="1315"/>
      <c r="UIX207" s="1316"/>
      <c r="UIY207" s="1317"/>
      <c r="UIZ207" s="1316"/>
      <c r="UJA207" s="1316"/>
      <c r="UJB207" s="1315"/>
      <c r="UJC207" s="1315"/>
      <c r="UJD207" s="1318"/>
      <c r="UJF207" s="1320"/>
      <c r="UJG207" s="1320"/>
      <c r="UJH207" s="1318"/>
      <c r="UJI207" s="1318"/>
      <c r="UJO207" s="1313"/>
      <c r="UJP207" s="1314"/>
      <c r="UJQ207" s="1313"/>
      <c r="UJR207" s="1315"/>
      <c r="UJS207" s="1316"/>
      <c r="UJT207" s="1317"/>
      <c r="UJU207" s="1316"/>
      <c r="UJV207" s="1316"/>
      <c r="UJW207" s="1315"/>
      <c r="UJX207" s="1315"/>
      <c r="UJY207" s="1318"/>
      <c r="UKA207" s="1320"/>
      <c r="UKB207" s="1320"/>
      <c r="UKC207" s="1318"/>
      <c r="UKD207" s="1318"/>
      <c r="UKJ207" s="1313"/>
      <c r="UKK207" s="1314"/>
      <c r="UKL207" s="1313"/>
      <c r="UKM207" s="1315"/>
      <c r="UKN207" s="1316"/>
      <c r="UKO207" s="1317"/>
      <c r="UKP207" s="1316"/>
      <c r="UKQ207" s="1316"/>
      <c r="UKR207" s="1315"/>
      <c r="UKS207" s="1315"/>
      <c r="UKT207" s="1318"/>
      <c r="UKV207" s="1320"/>
      <c r="UKW207" s="1320"/>
      <c r="UKX207" s="1318"/>
      <c r="UKY207" s="1318"/>
      <c r="ULE207" s="1313"/>
      <c r="ULF207" s="1314"/>
      <c r="ULG207" s="1313"/>
      <c r="ULH207" s="1315"/>
      <c r="ULI207" s="1316"/>
      <c r="ULJ207" s="1317"/>
      <c r="ULK207" s="1316"/>
      <c r="ULL207" s="1316"/>
      <c r="ULM207" s="1315"/>
      <c r="ULN207" s="1315"/>
      <c r="ULO207" s="1318"/>
      <c r="ULQ207" s="1320"/>
      <c r="ULR207" s="1320"/>
      <c r="ULS207" s="1318"/>
      <c r="ULT207" s="1318"/>
      <c r="ULZ207" s="1313"/>
      <c r="UMA207" s="1314"/>
      <c r="UMB207" s="1313"/>
      <c r="UMC207" s="1315"/>
      <c r="UMD207" s="1316"/>
      <c r="UME207" s="1317"/>
      <c r="UMF207" s="1316"/>
      <c r="UMG207" s="1316"/>
      <c r="UMH207" s="1315"/>
      <c r="UMI207" s="1315"/>
      <c r="UMJ207" s="1318"/>
      <c r="UML207" s="1320"/>
      <c r="UMM207" s="1320"/>
      <c r="UMN207" s="1318"/>
      <c r="UMO207" s="1318"/>
      <c r="UMU207" s="1313"/>
      <c r="UMV207" s="1314"/>
      <c r="UMW207" s="1313"/>
      <c r="UMX207" s="1315"/>
      <c r="UMY207" s="1316"/>
      <c r="UMZ207" s="1317"/>
      <c r="UNA207" s="1316"/>
      <c r="UNB207" s="1316"/>
      <c r="UNC207" s="1315"/>
      <c r="UND207" s="1315"/>
      <c r="UNE207" s="1318"/>
      <c r="UNG207" s="1320"/>
      <c r="UNH207" s="1320"/>
      <c r="UNI207" s="1318"/>
      <c r="UNJ207" s="1318"/>
      <c r="UNP207" s="1313"/>
      <c r="UNQ207" s="1314"/>
      <c r="UNR207" s="1313"/>
      <c r="UNS207" s="1315"/>
      <c r="UNT207" s="1316"/>
      <c r="UNU207" s="1317"/>
      <c r="UNV207" s="1316"/>
      <c r="UNW207" s="1316"/>
      <c r="UNX207" s="1315"/>
      <c r="UNY207" s="1315"/>
      <c r="UNZ207" s="1318"/>
      <c r="UOB207" s="1320"/>
      <c r="UOC207" s="1320"/>
      <c r="UOD207" s="1318"/>
      <c r="UOE207" s="1318"/>
      <c r="UOK207" s="1313"/>
      <c r="UOL207" s="1314"/>
      <c r="UOM207" s="1313"/>
      <c r="UON207" s="1315"/>
      <c r="UOO207" s="1316"/>
      <c r="UOP207" s="1317"/>
      <c r="UOQ207" s="1316"/>
      <c r="UOR207" s="1316"/>
      <c r="UOS207" s="1315"/>
      <c r="UOT207" s="1315"/>
      <c r="UOU207" s="1318"/>
      <c r="UOW207" s="1320"/>
      <c r="UOX207" s="1320"/>
      <c r="UOY207" s="1318"/>
      <c r="UOZ207" s="1318"/>
      <c r="UPF207" s="1313"/>
      <c r="UPG207" s="1314"/>
      <c r="UPH207" s="1313"/>
      <c r="UPI207" s="1315"/>
      <c r="UPJ207" s="1316"/>
      <c r="UPK207" s="1317"/>
      <c r="UPL207" s="1316"/>
      <c r="UPM207" s="1316"/>
      <c r="UPN207" s="1315"/>
      <c r="UPO207" s="1315"/>
      <c r="UPP207" s="1318"/>
      <c r="UPR207" s="1320"/>
      <c r="UPS207" s="1320"/>
      <c r="UPT207" s="1318"/>
      <c r="UPU207" s="1318"/>
      <c r="UQA207" s="1313"/>
      <c r="UQB207" s="1314"/>
      <c r="UQC207" s="1313"/>
      <c r="UQD207" s="1315"/>
      <c r="UQE207" s="1316"/>
      <c r="UQF207" s="1317"/>
      <c r="UQG207" s="1316"/>
      <c r="UQH207" s="1316"/>
      <c r="UQI207" s="1315"/>
      <c r="UQJ207" s="1315"/>
      <c r="UQK207" s="1318"/>
      <c r="UQM207" s="1320"/>
      <c r="UQN207" s="1320"/>
      <c r="UQO207" s="1318"/>
      <c r="UQP207" s="1318"/>
      <c r="UQV207" s="1313"/>
      <c r="UQW207" s="1314"/>
      <c r="UQX207" s="1313"/>
      <c r="UQY207" s="1315"/>
      <c r="UQZ207" s="1316"/>
      <c r="URA207" s="1317"/>
      <c r="URB207" s="1316"/>
      <c r="URC207" s="1316"/>
      <c r="URD207" s="1315"/>
      <c r="URE207" s="1315"/>
      <c r="URF207" s="1318"/>
      <c r="URH207" s="1320"/>
      <c r="URI207" s="1320"/>
      <c r="URJ207" s="1318"/>
      <c r="URK207" s="1318"/>
      <c r="URQ207" s="1313"/>
      <c r="URR207" s="1314"/>
      <c r="URS207" s="1313"/>
      <c r="URT207" s="1315"/>
      <c r="URU207" s="1316"/>
      <c r="URV207" s="1317"/>
      <c r="URW207" s="1316"/>
      <c r="URX207" s="1316"/>
      <c r="URY207" s="1315"/>
      <c r="URZ207" s="1315"/>
      <c r="USA207" s="1318"/>
      <c r="USC207" s="1320"/>
      <c r="USD207" s="1320"/>
      <c r="USE207" s="1318"/>
      <c r="USF207" s="1318"/>
      <c r="USL207" s="1313"/>
      <c r="USM207" s="1314"/>
      <c r="USN207" s="1313"/>
      <c r="USO207" s="1315"/>
      <c r="USP207" s="1316"/>
      <c r="USQ207" s="1317"/>
      <c r="USR207" s="1316"/>
      <c r="USS207" s="1316"/>
      <c r="UST207" s="1315"/>
      <c r="USU207" s="1315"/>
      <c r="USV207" s="1318"/>
      <c r="USX207" s="1320"/>
      <c r="USY207" s="1320"/>
      <c r="USZ207" s="1318"/>
      <c r="UTA207" s="1318"/>
      <c r="UTG207" s="1313"/>
      <c r="UTH207" s="1314"/>
      <c r="UTI207" s="1313"/>
      <c r="UTJ207" s="1315"/>
      <c r="UTK207" s="1316"/>
      <c r="UTL207" s="1317"/>
      <c r="UTM207" s="1316"/>
      <c r="UTN207" s="1316"/>
      <c r="UTO207" s="1315"/>
      <c r="UTP207" s="1315"/>
      <c r="UTQ207" s="1318"/>
      <c r="UTS207" s="1320"/>
      <c r="UTT207" s="1320"/>
      <c r="UTU207" s="1318"/>
      <c r="UTV207" s="1318"/>
      <c r="UUB207" s="1313"/>
      <c r="UUC207" s="1314"/>
      <c r="UUD207" s="1313"/>
      <c r="UUE207" s="1315"/>
      <c r="UUF207" s="1316"/>
      <c r="UUG207" s="1317"/>
      <c r="UUH207" s="1316"/>
      <c r="UUI207" s="1316"/>
      <c r="UUJ207" s="1315"/>
      <c r="UUK207" s="1315"/>
      <c r="UUL207" s="1318"/>
      <c r="UUN207" s="1320"/>
      <c r="UUO207" s="1320"/>
      <c r="UUP207" s="1318"/>
      <c r="UUQ207" s="1318"/>
      <c r="UUW207" s="1313"/>
      <c r="UUX207" s="1314"/>
      <c r="UUY207" s="1313"/>
      <c r="UUZ207" s="1315"/>
      <c r="UVA207" s="1316"/>
      <c r="UVB207" s="1317"/>
      <c r="UVC207" s="1316"/>
      <c r="UVD207" s="1316"/>
      <c r="UVE207" s="1315"/>
      <c r="UVF207" s="1315"/>
      <c r="UVG207" s="1318"/>
      <c r="UVI207" s="1320"/>
      <c r="UVJ207" s="1320"/>
      <c r="UVK207" s="1318"/>
      <c r="UVL207" s="1318"/>
      <c r="UVR207" s="1313"/>
      <c r="UVS207" s="1314"/>
      <c r="UVT207" s="1313"/>
      <c r="UVU207" s="1315"/>
      <c r="UVV207" s="1316"/>
      <c r="UVW207" s="1317"/>
      <c r="UVX207" s="1316"/>
      <c r="UVY207" s="1316"/>
      <c r="UVZ207" s="1315"/>
      <c r="UWA207" s="1315"/>
      <c r="UWB207" s="1318"/>
      <c r="UWD207" s="1320"/>
      <c r="UWE207" s="1320"/>
      <c r="UWF207" s="1318"/>
      <c r="UWG207" s="1318"/>
      <c r="UWM207" s="1313"/>
      <c r="UWN207" s="1314"/>
      <c r="UWO207" s="1313"/>
      <c r="UWP207" s="1315"/>
      <c r="UWQ207" s="1316"/>
      <c r="UWR207" s="1317"/>
      <c r="UWS207" s="1316"/>
      <c r="UWT207" s="1316"/>
      <c r="UWU207" s="1315"/>
      <c r="UWV207" s="1315"/>
      <c r="UWW207" s="1318"/>
      <c r="UWY207" s="1320"/>
      <c r="UWZ207" s="1320"/>
      <c r="UXA207" s="1318"/>
      <c r="UXB207" s="1318"/>
      <c r="UXH207" s="1313"/>
      <c r="UXI207" s="1314"/>
      <c r="UXJ207" s="1313"/>
      <c r="UXK207" s="1315"/>
      <c r="UXL207" s="1316"/>
      <c r="UXM207" s="1317"/>
      <c r="UXN207" s="1316"/>
      <c r="UXO207" s="1316"/>
      <c r="UXP207" s="1315"/>
      <c r="UXQ207" s="1315"/>
      <c r="UXR207" s="1318"/>
      <c r="UXT207" s="1320"/>
      <c r="UXU207" s="1320"/>
      <c r="UXV207" s="1318"/>
      <c r="UXW207" s="1318"/>
      <c r="UYC207" s="1313"/>
      <c r="UYD207" s="1314"/>
      <c r="UYE207" s="1313"/>
      <c r="UYF207" s="1315"/>
      <c r="UYG207" s="1316"/>
      <c r="UYH207" s="1317"/>
      <c r="UYI207" s="1316"/>
      <c r="UYJ207" s="1316"/>
      <c r="UYK207" s="1315"/>
      <c r="UYL207" s="1315"/>
      <c r="UYM207" s="1318"/>
      <c r="UYO207" s="1320"/>
      <c r="UYP207" s="1320"/>
      <c r="UYQ207" s="1318"/>
      <c r="UYR207" s="1318"/>
      <c r="UYX207" s="1313"/>
      <c r="UYY207" s="1314"/>
      <c r="UYZ207" s="1313"/>
      <c r="UZA207" s="1315"/>
      <c r="UZB207" s="1316"/>
      <c r="UZC207" s="1317"/>
      <c r="UZD207" s="1316"/>
      <c r="UZE207" s="1316"/>
      <c r="UZF207" s="1315"/>
      <c r="UZG207" s="1315"/>
      <c r="UZH207" s="1318"/>
      <c r="UZJ207" s="1320"/>
      <c r="UZK207" s="1320"/>
      <c r="UZL207" s="1318"/>
      <c r="UZM207" s="1318"/>
      <c r="UZS207" s="1313"/>
      <c r="UZT207" s="1314"/>
      <c r="UZU207" s="1313"/>
      <c r="UZV207" s="1315"/>
      <c r="UZW207" s="1316"/>
      <c r="UZX207" s="1317"/>
      <c r="UZY207" s="1316"/>
      <c r="UZZ207" s="1316"/>
      <c r="VAA207" s="1315"/>
      <c r="VAB207" s="1315"/>
      <c r="VAC207" s="1318"/>
      <c r="VAE207" s="1320"/>
      <c r="VAF207" s="1320"/>
      <c r="VAG207" s="1318"/>
      <c r="VAH207" s="1318"/>
      <c r="VAN207" s="1313"/>
      <c r="VAO207" s="1314"/>
      <c r="VAP207" s="1313"/>
      <c r="VAQ207" s="1315"/>
      <c r="VAR207" s="1316"/>
      <c r="VAS207" s="1317"/>
      <c r="VAT207" s="1316"/>
      <c r="VAU207" s="1316"/>
      <c r="VAV207" s="1315"/>
      <c r="VAW207" s="1315"/>
      <c r="VAX207" s="1318"/>
      <c r="VAZ207" s="1320"/>
      <c r="VBA207" s="1320"/>
      <c r="VBB207" s="1318"/>
      <c r="VBC207" s="1318"/>
      <c r="VBI207" s="1313"/>
      <c r="VBJ207" s="1314"/>
      <c r="VBK207" s="1313"/>
      <c r="VBL207" s="1315"/>
      <c r="VBM207" s="1316"/>
      <c r="VBN207" s="1317"/>
      <c r="VBO207" s="1316"/>
      <c r="VBP207" s="1316"/>
      <c r="VBQ207" s="1315"/>
      <c r="VBR207" s="1315"/>
      <c r="VBS207" s="1318"/>
      <c r="VBU207" s="1320"/>
      <c r="VBV207" s="1320"/>
      <c r="VBW207" s="1318"/>
      <c r="VBX207" s="1318"/>
      <c r="VCD207" s="1313"/>
      <c r="VCE207" s="1314"/>
      <c r="VCF207" s="1313"/>
      <c r="VCG207" s="1315"/>
      <c r="VCH207" s="1316"/>
      <c r="VCI207" s="1317"/>
      <c r="VCJ207" s="1316"/>
      <c r="VCK207" s="1316"/>
      <c r="VCL207" s="1315"/>
      <c r="VCM207" s="1315"/>
      <c r="VCN207" s="1318"/>
      <c r="VCP207" s="1320"/>
      <c r="VCQ207" s="1320"/>
      <c r="VCR207" s="1318"/>
      <c r="VCS207" s="1318"/>
      <c r="VCY207" s="1313"/>
      <c r="VCZ207" s="1314"/>
      <c r="VDA207" s="1313"/>
      <c r="VDB207" s="1315"/>
      <c r="VDC207" s="1316"/>
      <c r="VDD207" s="1317"/>
      <c r="VDE207" s="1316"/>
      <c r="VDF207" s="1316"/>
      <c r="VDG207" s="1315"/>
      <c r="VDH207" s="1315"/>
      <c r="VDI207" s="1318"/>
      <c r="VDK207" s="1320"/>
      <c r="VDL207" s="1320"/>
      <c r="VDM207" s="1318"/>
      <c r="VDN207" s="1318"/>
      <c r="VDT207" s="1313"/>
      <c r="VDU207" s="1314"/>
      <c r="VDV207" s="1313"/>
      <c r="VDW207" s="1315"/>
      <c r="VDX207" s="1316"/>
      <c r="VDY207" s="1317"/>
      <c r="VDZ207" s="1316"/>
      <c r="VEA207" s="1316"/>
      <c r="VEB207" s="1315"/>
      <c r="VEC207" s="1315"/>
      <c r="VED207" s="1318"/>
      <c r="VEF207" s="1320"/>
      <c r="VEG207" s="1320"/>
      <c r="VEH207" s="1318"/>
      <c r="VEI207" s="1318"/>
      <c r="VEO207" s="1313"/>
      <c r="VEP207" s="1314"/>
      <c r="VEQ207" s="1313"/>
      <c r="VER207" s="1315"/>
      <c r="VES207" s="1316"/>
      <c r="VET207" s="1317"/>
      <c r="VEU207" s="1316"/>
      <c r="VEV207" s="1316"/>
      <c r="VEW207" s="1315"/>
      <c r="VEX207" s="1315"/>
      <c r="VEY207" s="1318"/>
      <c r="VFA207" s="1320"/>
      <c r="VFB207" s="1320"/>
      <c r="VFC207" s="1318"/>
      <c r="VFD207" s="1318"/>
      <c r="VFJ207" s="1313"/>
      <c r="VFK207" s="1314"/>
      <c r="VFL207" s="1313"/>
      <c r="VFM207" s="1315"/>
      <c r="VFN207" s="1316"/>
      <c r="VFO207" s="1317"/>
      <c r="VFP207" s="1316"/>
      <c r="VFQ207" s="1316"/>
      <c r="VFR207" s="1315"/>
      <c r="VFS207" s="1315"/>
      <c r="VFT207" s="1318"/>
      <c r="VFV207" s="1320"/>
      <c r="VFW207" s="1320"/>
      <c r="VFX207" s="1318"/>
      <c r="VFY207" s="1318"/>
      <c r="VGE207" s="1313"/>
      <c r="VGF207" s="1314"/>
      <c r="VGG207" s="1313"/>
      <c r="VGH207" s="1315"/>
      <c r="VGI207" s="1316"/>
      <c r="VGJ207" s="1317"/>
      <c r="VGK207" s="1316"/>
      <c r="VGL207" s="1316"/>
      <c r="VGM207" s="1315"/>
      <c r="VGN207" s="1315"/>
      <c r="VGO207" s="1318"/>
      <c r="VGQ207" s="1320"/>
      <c r="VGR207" s="1320"/>
      <c r="VGS207" s="1318"/>
      <c r="VGT207" s="1318"/>
      <c r="VGZ207" s="1313"/>
      <c r="VHA207" s="1314"/>
      <c r="VHB207" s="1313"/>
      <c r="VHC207" s="1315"/>
      <c r="VHD207" s="1316"/>
      <c r="VHE207" s="1317"/>
      <c r="VHF207" s="1316"/>
      <c r="VHG207" s="1316"/>
      <c r="VHH207" s="1315"/>
      <c r="VHI207" s="1315"/>
      <c r="VHJ207" s="1318"/>
      <c r="VHL207" s="1320"/>
      <c r="VHM207" s="1320"/>
      <c r="VHN207" s="1318"/>
      <c r="VHO207" s="1318"/>
      <c r="VHU207" s="1313"/>
      <c r="VHV207" s="1314"/>
      <c r="VHW207" s="1313"/>
      <c r="VHX207" s="1315"/>
      <c r="VHY207" s="1316"/>
      <c r="VHZ207" s="1317"/>
      <c r="VIA207" s="1316"/>
      <c r="VIB207" s="1316"/>
      <c r="VIC207" s="1315"/>
      <c r="VID207" s="1315"/>
      <c r="VIE207" s="1318"/>
      <c r="VIG207" s="1320"/>
      <c r="VIH207" s="1320"/>
      <c r="VII207" s="1318"/>
      <c r="VIJ207" s="1318"/>
      <c r="VIP207" s="1313"/>
      <c r="VIQ207" s="1314"/>
      <c r="VIR207" s="1313"/>
      <c r="VIS207" s="1315"/>
      <c r="VIT207" s="1316"/>
      <c r="VIU207" s="1317"/>
      <c r="VIV207" s="1316"/>
      <c r="VIW207" s="1316"/>
      <c r="VIX207" s="1315"/>
      <c r="VIY207" s="1315"/>
      <c r="VIZ207" s="1318"/>
      <c r="VJB207" s="1320"/>
      <c r="VJC207" s="1320"/>
      <c r="VJD207" s="1318"/>
      <c r="VJE207" s="1318"/>
      <c r="VJK207" s="1313"/>
      <c r="VJL207" s="1314"/>
      <c r="VJM207" s="1313"/>
      <c r="VJN207" s="1315"/>
      <c r="VJO207" s="1316"/>
      <c r="VJP207" s="1317"/>
      <c r="VJQ207" s="1316"/>
      <c r="VJR207" s="1316"/>
      <c r="VJS207" s="1315"/>
      <c r="VJT207" s="1315"/>
      <c r="VJU207" s="1318"/>
      <c r="VJW207" s="1320"/>
      <c r="VJX207" s="1320"/>
      <c r="VJY207" s="1318"/>
      <c r="VJZ207" s="1318"/>
      <c r="VKF207" s="1313"/>
      <c r="VKG207" s="1314"/>
      <c r="VKH207" s="1313"/>
      <c r="VKI207" s="1315"/>
      <c r="VKJ207" s="1316"/>
      <c r="VKK207" s="1317"/>
      <c r="VKL207" s="1316"/>
      <c r="VKM207" s="1316"/>
      <c r="VKN207" s="1315"/>
      <c r="VKO207" s="1315"/>
      <c r="VKP207" s="1318"/>
      <c r="VKR207" s="1320"/>
      <c r="VKS207" s="1320"/>
      <c r="VKT207" s="1318"/>
      <c r="VKU207" s="1318"/>
      <c r="VLA207" s="1313"/>
      <c r="VLB207" s="1314"/>
      <c r="VLC207" s="1313"/>
      <c r="VLD207" s="1315"/>
      <c r="VLE207" s="1316"/>
      <c r="VLF207" s="1317"/>
      <c r="VLG207" s="1316"/>
      <c r="VLH207" s="1316"/>
      <c r="VLI207" s="1315"/>
      <c r="VLJ207" s="1315"/>
      <c r="VLK207" s="1318"/>
      <c r="VLM207" s="1320"/>
      <c r="VLN207" s="1320"/>
      <c r="VLO207" s="1318"/>
      <c r="VLP207" s="1318"/>
      <c r="VLV207" s="1313"/>
      <c r="VLW207" s="1314"/>
      <c r="VLX207" s="1313"/>
      <c r="VLY207" s="1315"/>
      <c r="VLZ207" s="1316"/>
      <c r="VMA207" s="1317"/>
      <c r="VMB207" s="1316"/>
      <c r="VMC207" s="1316"/>
      <c r="VMD207" s="1315"/>
      <c r="VME207" s="1315"/>
      <c r="VMF207" s="1318"/>
      <c r="VMH207" s="1320"/>
      <c r="VMI207" s="1320"/>
      <c r="VMJ207" s="1318"/>
      <c r="VMK207" s="1318"/>
      <c r="VMQ207" s="1313"/>
      <c r="VMR207" s="1314"/>
      <c r="VMS207" s="1313"/>
      <c r="VMT207" s="1315"/>
      <c r="VMU207" s="1316"/>
      <c r="VMV207" s="1317"/>
      <c r="VMW207" s="1316"/>
      <c r="VMX207" s="1316"/>
      <c r="VMY207" s="1315"/>
      <c r="VMZ207" s="1315"/>
      <c r="VNA207" s="1318"/>
      <c r="VNC207" s="1320"/>
      <c r="VND207" s="1320"/>
      <c r="VNE207" s="1318"/>
      <c r="VNF207" s="1318"/>
      <c r="VNL207" s="1313"/>
      <c r="VNM207" s="1314"/>
      <c r="VNN207" s="1313"/>
      <c r="VNO207" s="1315"/>
      <c r="VNP207" s="1316"/>
      <c r="VNQ207" s="1317"/>
      <c r="VNR207" s="1316"/>
      <c r="VNS207" s="1316"/>
      <c r="VNT207" s="1315"/>
      <c r="VNU207" s="1315"/>
      <c r="VNV207" s="1318"/>
      <c r="VNX207" s="1320"/>
      <c r="VNY207" s="1320"/>
      <c r="VNZ207" s="1318"/>
      <c r="VOA207" s="1318"/>
      <c r="VOG207" s="1313"/>
      <c r="VOH207" s="1314"/>
      <c r="VOI207" s="1313"/>
      <c r="VOJ207" s="1315"/>
      <c r="VOK207" s="1316"/>
      <c r="VOL207" s="1317"/>
      <c r="VOM207" s="1316"/>
      <c r="VON207" s="1316"/>
      <c r="VOO207" s="1315"/>
      <c r="VOP207" s="1315"/>
      <c r="VOQ207" s="1318"/>
      <c r="VOS207" s="1320"/>
      <c r="VOT207" s="1320"/>
      <c r="VOU207" s="1318"/>
      <c r="VOV207" s="1318"/>
      <c r="VPB207" s="1313"/>
      <c r="VPC207" s="1314"/>
      <c r="VPD207" s="1313"/>
      <c r="VPE207" s="1315"/>
      <c r="VPF207" s="1316"/>
      <c r="VPG207" s="1317"/>
      <c r="VPH207" s="1316"/>
      <c r="VPI207" s="1316"/>
      <c r="VPJ207" s="1315"/>
      <c r="VPK207" s="1315"/>
      <c r="VPL207" s="1318"/>
      <c r="VPN207" s="1320"/>
      <c r="VPO207" s="1320"/>
      <c r="VPP207" s="1318"/>
      <c r="VPQ207" s="1318"/>
      <c r="VPW207" s="1313"/>
      <c r="VPX207" s="1314"/>
      <c r="VPY207" s="1313"/>
      <c r="VPZ207" s="1315"/>
      <c r="VQA207" s="1316"/>
      <c r="VQB207" s="1317"/>
      <c r="VQC207" s="1316"/>
      <c r="VQD207" s="1316"/>
      <c r="VQE207" s="1315"/>
      <c r="VQF207" s="1315"/>
      <c r="VQG207" s="1318"/>
      <c r="VQI207" s="1320"/>
      <c r="VQJ207" s="1320"/>
      <c r="VQK207" s="1318"/>
      <c r="VQL207" s="1318"/>
      <c r="VQR207" s="1313"/>
      <c r="VQS207" s="1314"/>
      <c r="VQT207" s="1313"/>
      <c r="VQU207" s="1315"/>
      <c r="VQV207" s="1316"/>
      <c r="VQW207" s="1317"/>
      <c r="VQX207" s="1316"/>
      <c r="VQY207" s="1316"/>
      <c r="VQZ207" s="1315"/>
      <c r="VRA207" s="1315"/>
      <c r="VRB207" s="1318"/>
      <c r="VRD207" s="1320"/>
      <c r="VRE207" s="1320"/>
      <c r="VRF207" s="1318"/>
      <c r="VRG207" s="1318"/>
      <c r="VRM207" s="1313"/>
      <c r="VRN207" s="1314"/>
      <c r="VRO207" s="1313"/>
      <c r="VRP207" s="1315"/>
      <c r="VRQ207" s="1316"/>
      <c r="VRR207" s="1317"/>
      <c r="VRS207" s="1316"/>
      <c r="VRT207" s="1316"/>
      <c r="VRU207" s="1315"/>
      <c r="VRV207" s="1315"/>
      <c r="VRW207" s="1318"/>
      <c r="VRY207" s="1320"/>
      <c r="VRZ207" s="1320"/>
      <c r="VSA207" s="1318"/>
      <c r="VSB207" s="1318"/>
      <c r="VSH207" s="1313"/>
      <c r="VSI207" s="1314"/>
      <c r="VSJ207" s="1313"/>
      <c r="VSK207" s="1315"/>
      <c r="VSL207" s="1316"/>
      <c r="VSM207" s="1317"/>
      <c r="VSN207" s="1316"/>
      <c r="VSO207" s="1316"/>
      <c r="VSP207" s="1315"/>
      <c r="VSQ207" s="1315"/>
      <c r="VSR207" s="1318"/>
      <c r="VST207" s="1320"/>
      <c r="VSU207" s="1320"/>
      <c r="VSV207" s="1318"/>
      <c r="VSW207" s="1318"/>
      <c r="VTC207" s="1313"/>
      <c r="VTD207" s="1314"/>
      <c r="VTE207" s="1313"/>
      <c r="VTF207" s="1315"/>
      <c r="VTG207" s="1316"/>
      <c r="VTH207" s="1317"/>
      <c r="VTI207" s="1316"/>
      <c r="VTJ207" s="1316"/>
      <c r="VTK207" s="1315"/>
      <c r="VTL207" s="1315"/>
      <c r="VTM207" s="1318"/>
      <c r="VTO207" s="1320"/>
      <c r="VTP207" s="1320"/>
      <c r="VTQ207" s="1318"/>
      <c r="VTR207" s="1318"/>
      <c r="VTX207" s="1313"/>
      <c r="VTY207" s="1314"/>
      <c r="VTZ207" s="1313"/>
      <c r="VUA207" s="1315"/>
      <c r="VUB207" s="1316"/>
      <c r="VUC207" s="1317"/>
      <c r="VUD207" s="1316"/>
      <c r="VUE207" s="1316"/>
      <c r="VUF207" s="1315"/>
      <c r="VUG207" s="1315"/>
      <c r="VUH207" s="1318"/>
      <c r="VUJ207" s="1320"/>
      <c r="VUK207" s="1320"/>
      <c r="VUL207" s="1318"/>
      <c r="VUM207" s="1318"/>
      <c r="VUS207" s="1313"/>
      <c r="VUT207" s="1314"/>
      <c r="VUU207" s="1313"/>
      <c r="VUV207" s="1315"/>
      <c r="VUW207" s="1316"/>
      <c r="VUX207" s="1317"/>
      <c r="VUY207" s="1316"/>
      <c r="VUZ207" s="1316"/>
      <c r="VVA207" s="1315"/>
      <c r="VVB207" s="1315"/>
      <c r="VVC207" s="1318"/>
      <c r="VVE207" s="1320"/>
      <c r="VVF207" s="1320"/>
      <c r="VVG207" s="1318"/>
      <c r="VVH207" s="1318"/>
      <c r="VVN207" s="1313"/>
      <c r="VVO207" s="1314"/>
      <c r="VVP207" s="1313"/>
      <c r="VVQ207" s="1315"/>
      <c r="VVR207" s="1316"/>
      <c r="VVS207" s="1317"/>
      <c r="VVT207" s="1316"/>
      <c r="VVU207" s="1316"/>
      <c r="VVV207" s="1315"/>
      <c r="VVW207" s="1315"/>
      <c r="VVX207" s="1318"/>
      <c r="VVZ207" s="1320"/>
      <c r="VWA207" s="1320"/>
      <c r="VWB207" s="1318"/>
      <c r="VWC207" s="1318"/>
      <c r="VWI207" s="1313"/>
      <c r="VWJ207" s="1314"/>
      <c r="VWK207" s="1313"/>
      <c r="VWL207" s="1315"/>
      <c r="VWM207" s="1316"/>
      <c r="VWN207" s="1317"/>
      <c r="VWO207" s="1316"/>
      <c r="VWP207" s="1316"/>
      <c r="VWQ207" s="1315"/>
      <c r="VWR207" s="1315"/>
      <c r="VWS207" s="1318"/>
      <c r="VWU207" s="1320"/>
      <c r="VWV207" s="1320"/>
      <c r="VWW207" s="1318"/>
      <c r="VWX207" s="1318"/>
      <c r="VXD207" s="1313"/>
      <c r="VXE207" s="1314"/>
      <c r="VXF207" s="1313"/>
      <c r="VXG207" s="1315"/>
      <c r="VXH207" s="1316"/>
      <c r="VXI207" s="1317"/>
      <c r="VXJ207" s="1316"/>
      <c r="VXK207" s="1316"/>
      <c r="VXL207" s="1315"/>
      <c r="VXM207" s="1315"/>
      <c r="VXN207" s="1318"/>
      <c r="VXP207" s="1320"/>
      <c r="VXQ207" s="1320"/>
      <c r="VXR207" s="1318"/>
      <c r="VXS207" s="1318"/>
      <c r="VXY207" s="1313"/>
      <c r="VXZ207" s="1314"/>
      <c r="VYA207" s="1313"/>
      <c r="VYB207" s="1315"/>
      <c r="VYC207" s="1316"/>
      <c r="VYD207" s="1317"/>
      <c r="VYE207" s="1316"/>
      <c r="VYF207" s="1316"/>
      <c r="VYG207" s="1315"/>
      <c r="VYH207" s="1315"/>
      <c r="VYI207" s="1318"/>
      <c r="VYK207" s="1320"/>
      <c r="VYL207" s="1320"/>
      <c r="VYM207" s="1318"/>
      <c r="VYN207" s="1318"/>
      <c r="VYT207" s="1313"/>
      <c r="VYU207" s="1314"/>
      <c r="VYV207" s="1313"/>
      <c r="VYW207" s="1315"/>
      <c r="VYX207" s="1316"/>
      <c r="VYY207" s="1317"/>
      <c r="VYZ207" s="1316"/>
      <c r="VZA207" s="1316"/>
      <c r="VZB207" s="1315"/>
      <c r="VZC207" s="1315"/>
      <c r="VZD207" s="1318"/>
      <c r="VZF207" s="1320"/>
      <c r="VZG207" s="1320"/>
      <c r="VZH207" s="1318"/>
      <c r="VZI207" s="1318"/>
      <c r="VZO207" s="1313"/>
      <c r="VZP207" s="1314"/>
      <c r="VZQ207" s="1313"/>
      <c r="VZR207" s="1315"/>
      <c r="VZS207" s="1316"/>
      <c r="VZT207" s="1317"/>
      <c r="VZU207" s="1316"/>
      <c r="VZV207" s="1316"/>
      <c r="VZW207" s="1315"/>
      <c r="VZX207" s="1315"/>
      <c r="VZY207" s="1318"/>
      <c r="WAA207" s="1320"/>
      <c r="WAB207" s="1320"/>
      <c r="WAC207" s="1318"/>
      <c r="WAD207" s="1318"/>
      <c r="WAJ207" s="1313"/>
      <c r="WAK207" s="1314"/>
      <c r="WAL207" s="1313"/>
      <c r="WAM207" s="1315"/>
      <c r="WAN207" s="1316"/>
      <c r="WAO207" s="1317"/>
      <c r="WAP207" s="1316"/>
      <c r="WAQ207" s="1316"/>
      <c r="WAR207" s="1315"/>
      <c r="WAS207" s="1315"/>
      <c r="WAT207" s="1318"/>
      <c r="WAV207" s="1320"/>
      <c r="WAW207" s="1320"/>
      <c r="WAX207" s="1318"/>
      <c r="WAY207" s="1318"/>
      <c r="WBE207" s="1313"/>
      <c r="WBF207" s="1314"/>
      <c r="WBG207" s="1313"/>
      <c r="WBH207" s="1315"/>
      <c r="WBI207" s="1316"/>
      <c r="WBJ207" s="1317"/>
      <c r="WBK207" s="1316"/>
      <c r="WBL207" s="1316"/>
      <c r="WBM207" s="1315"/>
      <c r="WBN207" s="1315"/>
      <c r="WBO207" s="1318"/>
      <c r="WBQ207" s="1320"/>
      <c r="WBR207" s="1320"/>
      <c r="WBS207" s="1318"/>
      <c r="WBT207" s="1318"/>
      <c r="WBZ207" s="1313"/>
      <c r="WCA207" s="1314"/>
      <c r="WCB207" s="1313"/>
      <c r="WCC207" s="1315"/>
      <c r="WCD207" s="1316"/>
      <c r="WCE207" s="1317"/>
      <c r="WCF207" s="1316"/>
      <c r="WCG207" s="1316"/>
      <c r="WCH207" s="1315"/>
      <c r="WCI207" s="1315"/>
      <c r="WCJ207" s="1318"/>
      <c r="WCL207" s="1320"/>
      <c r="WCM207" s="1320"/>
      <c r="WCN207" s="1318"/>
      <c r="WCO207" s="1318"/>
      <c r="WCU207" s="1313"/>
      <c r="WCV207" s="1314"/>
      <c r="WCW207" s="1313"/>
      <c r="WCX207" s="1315"/>
      <c r="WCY207" s="1316"/>
      <c r="WCZ207" s="1317"/>
      <c r="WDA207" s="1316"/>
      <c r="WDB207" s="1316"/>
      <c r="WDC207" s="1315"/>
      <c r="WDD207" s="1315"/>
      <c r="WDE207" s="1318"/>
      <c r="WDG207" s="1320"/>
      <c r="WDH207" s="1320"/>
      <c r="WDI207" s="1318"/>
      <c r="WDJ207" s="1318"/>
      <c r="WDP207" s="1313"/>
      <c r="WDQ207" s="1314"/>
      <c r="WDR207" s="1313"/>
      <c r="WDS207" s="1315"/>
      <c r="WDT207" s="1316"/>
      <c r="WDU207" s="1317"/>
      <c r="WDV207" s="1316"/>
      <c r="WDW207" s="1316"/>
      <c r="WDX207" s="1315"/>
      <c r="WDY207" s="1315"/>
      <c r="WDZ207" s="1318"/>
      <c r="WEB207" s="1320"/>
      <c r="WEC207" s="1320"/>
      <c r="WED207" s="1318"/>
      <c r="WEE207" s="1318"/>
      <c r="WEK207" s="1313"/>
      <c r="WEL207" s="1314"/>
      <c r="WEM207" s="1313"/>
      <c r="WEN207" s="1315"/>
      <c r="WEO207" s="1316"/>
      <c r="WEP207" s="1317"/>
      <c r="WEQ207" s="1316"/>
      <c r="WER207" s="1316"/>
      <c r="WES207" s="1315"/>
      <c r="WET207" s="1315"/>
      <c r="WEU207" s="1318"/>
      <c r="WEW207" s="1320"/>
      <c r="WEX207" s="1320"/>
      <c r="WEY207" s="1318"/>
      <c r="WEZ207" s="1318"/>
      <c r="WFF207" s="1313"/>
      <c r="WFG207" s="1314"/>
      <c r="WFH207" s="1313"/>
      <c r="WFI207" s="1315"/>
      <c r="WFJ207" s="1316"/>
      <c r="WFK207" s="1317"/>
      <c r="WFL207" s="1316"/>
      <c r="WFM207" s="1316"/>
      <c r="WFN207" s="1315"/>
      <c r="WFO207" s="1315"/>
      <c r="WFP207" s="1318"/>
      <c r="WFR207" s="1320"/>
      <c r="WFS207" s="1320"/>
      <c r="WFT207" s="1318"/>
      <c r="WFU207" s="1318"/>
      <c r="WGA207" s="1313"/>
      <c r="WGB207" s="1314"/>
      <c r="WGC207" s="1313"/>
      <c r="WGD207" s="1315"/>
      <c r="WGE207" s="1316"/>
      <c r="WGF207" s="1317"/>
      <c r="WGG207" s="1316"/>
      <c r="WGH207" s="1316"/>
      <c r="WGI207" s="1315"/>
      <c r="WGJ207" s="1315"/>
      <c r="WGK207" s="1318"/>
      <c r="WGM207" s="1320"/>
      <c r="WGN207" s="1320"/>
      <c r="WGO207" s="1318"/>
      <c r="WGP207" s="1318"/>
      <c r="WGV207" s="1313"/>
      <c r="WGW207" s="1314"/>
      <c r="WGX207" s="1313"/>
      <c r="WGY207" s="1315"/>
      <c r="WGZ207" s="1316"/>
      <c r="WHA207" s="1317"/>
      <c r="WHB207" s="1316"/>
      <c r="WHC207" s="1316"/>
      <c r="WHD207" s="1315"/>
      <c r="WHE207" s="1315"/>
      <c r="WHF207" s="1318"/>
      <c r="WHH207" s="1320"/>
      <c r="WHI207" s="1320"/>
      <c r="WHJ207" s="1318"/>
      <c r="WHK207" s="1318"/>
      <c r="WHQ207" s="1313"/>
      <c r="WHR207" s="1314"/>
      <c r="WHS207" s="1313"/>
      <c r="WHT207" s="1315"/>
      <c r="WHU207" s="1316"/>
      <c r="WHV207" s="1317"/>
      <c r="WHW207" s="1316"/>
      <c r="WHX207" s="1316"/>
      <c r="WHY207" s="1315"/>
      <c r="WHZ207" s="1315"/>
      <c r="WIA207" s="1318"/>
      <c r="WIC207" s="1320"/>
      <c r="WID207" s="1320"/>
      <c r="WIE207" s="1318"/>
      <c r="WIF207" s="1318"/>
      <c r="WIL207" s="1313"/>
      <c r="WIM207" s="1314"/>
      <c r="WIN207" s="1313"/>
      <c r="WIO207" s="1315"/>
      <c r="WIP207" s="1316"/>
      <c r="WIQ207" s="1317"/>
      <c r="WIR207" s="1316"/>
      <c r="WIS207" s="1316"/>
      <c r="WIT207" s="1315"/>
      <c r="WIU207" s="1315"/>
      <c r="WIV207" s="1318"/>
      <c r="WIX207" s="1320"/>
      <c r="WIY207" s="1320"/>
      <c r="WIZ207" s="1318"/>
      <c r="WJA207" s="1318"/>
      <c r="WJG207" s="1313"/>
      <c r="WJH207" s="1314"/>
      <c r="WJI207" s="1313"/>
      <c r="WJJ207" s="1315"/>
      <c r="WJK207" s="1316"/>
      <c r="WJL207" s="1317"/>
      <c r="WJM207" s="1316"/>
      <c r="WJN207" s="1316"/>
      <c r="WJO207" s="1315"/>
      <c r="WJP207" s="1315"/>
      <c r="WJQ207" s="1318"/>
      <c r="WJS207" s="1320"/>
      <c r="WJT207" s="1320"/>
      <c r="WJU207" s="1318"/>
      <c r="WJV207" s="1318"/>
      <c r="WKB207" s="1313"/>
      <c r="WKC207" s="1314"/>
      <c r="WKD207" s="1313"/>
      <c r="WKE207" s="1315"/>
      <c r="WKF207" s="1316"/>
      <c r="WKG207" s="1317"/>
      <c r="WKH207" s="1316"/>
      <c r="WKI207" s="1316"/>
      <c r="WKJ207" s="1315"/>
      <c r="WKK207" s="1315"/>
      <c r="WKL207" s="1318"/>
      <c r="WKN207" s="1320"/>
      <c r="WKO207" s="1320"/>
      <c r="WKP207" s="1318"/>
      <c r="WKQ207" s="1318"/>
      <c r="WKW207" s="1313"/>
      <c r="WKX207" s="1314"/>
      <c r="WKY207" s="1313"/>
      <c r="WKZ207" s="1315"/>
      <c r="WLA207" s="1316"/>
      <c r="WLB207" s="1317"/>
      <c r="WLC207" s="1316"/>
      <c r="WLD207" s="1316"/>
      <c r="WLE207" s="1315"/>
      <c r="WLF207" s="1315"/>
      <c r="WLG207" s="1318"/>
      <c r="WLI207" s="1320"/>
      <c r="WLJ207" s="1320"/>
      <c r="WLK207" s="1318"/>
      <c r="WLL207" s="1318"/>
      <c r="WLR207" s="1313"/>
      <c r="WLS207" s="1314"/>
      <c r="WLT207" s="1313"/>
      <c r="WLU207" s="1315"/>
      <c r="WLV207" s="1316"/>
      <c r="WLW207" s="1317"/>
      <c r="WLX207" s="1316"/>
      <c r="WLY207" s="1316"/>
      <c r="WLZ207" s="1315"/>
      <c r="WMA207" s="1315"/>
      <c r="WMB207" s="1318"/>
      <c r="WMD207" s="1320"/>
      <c r="WME207" s="1320"/>
      <c r="WMF207" s="1318"/>
      <c r="WMG207" s="1318"/>
      <c r="WMM207" s="1313"/>
      <c r="WMN207" s="1314"/>
      <c r="WMO207" s="1313"/>
      <c r="WMP207" s="1315"/>
      <c r="WMQ207" s="1316"/>
      <c r="WMR207" s="1317"/>
      <c r="WMS207" s="1316"/>
      <c r="WMT207" s="1316"/>
      <c r="WMU207" s="1315"/>
      <c r="WMV207" s="1315"/>
      <c r="WMW207" s="1318"/>
      <c r="WMY207" s="1320"/>
      <c r="WMZ207" s="1320"/>
      <c r="WNA207" s="1318"/>
      <c r="WNB207" s="1318"/>
      <c r="WNH207" s="1313"/>
      <c r="WNI207" s="1314"/>
      <c r="WNJ207" s="1313"/>
      <c r="WNK207" s="1315"/>
      <c r="WNL207" s="1316"/>
      <c r="WNM207" s="1317"/>
      <c r="WNN207" s="1316"/>
      <c r="WNO207" s="1316"/>
      <c r="WNP207" s="1315"/>
      <c r="WNQ207" s="1315"/>
      <c r="WNR207" s="1318"/>
      <c r="WNT207" s="1320"/>
      <c r="WNU207" s="1320"/>
      <c r="WNV207" s="1318"/>
      <c r="WNW207" s="1318"/>
      <c r="WOC207" s="1313"/>
      <c r="WOD207" s="1314"/>
      <c r="WOE207" s="1313"/>
      <c r="WOF207" s="1315"/>
      <c r="WOG207" s="1316"/>
      <c r="WOH207" s="1317"/>
      <c r="WOI207" s="1316"/>
      <c r="WOJ207" s="1316"/>
      <c r="WOK207" s="1315"/>
      <c r="WOL207" s="1315"/>
      <c r="WOM207" s="1318"/>
      <c r="WOO207" s="1320"/>
      <c r="WOP207" s="1320"/>
      <c r="WOQ207" s="1318"/>
      <c r="WOR207" s="1318"/>
      <c r="WOX207" s="1313"/>
      <c r="WOY207" s="1314"/>
      <c r="WOZ207" s="1313"/>
      <c r="WPA207" s="1315"/>
      <c r="WPB207" s="1316"/>
      <c r="WPC207" s="1317"/>
      <c r="WPD207" s="1316"/>
      <c r="WPE207" s="1316"/>
      <c r="WPF207" s="1315"/>
      <c r="WPG207" s="1315"/>
      <c r="WPH207" s="1318"/>
      <c r="WPJ207" s="1320"/>
      <c r="WPK207" s="1320"/>
      <c r="WPL207" s="1318"/>
      <c r="WPM207" s="1318"/>
      <c r="WPS207" s="1313"/>
      <c r="WPT207" s="1314"/>
      <c r="WPU207" s="1313"/>
      <c r="WPV207" s="1315"/>
      <c r="WPW207" s="1316"/>
      <c r="WPX207" s="1317"/>
      <c r="WPY207" s="1316"/>
      <c r="WPZ207" s="1316"/>
      <c r="WQA207" s="1315"/>
      <c r="WQB207" s="1315"/>
      <c r="WQC207" s="1318"/>
      <c r="WQE207" s="1320"/>
      <c r="WQF207" s="1320"/>
      <c r="WQG207" s="1318"/>
      <c r="WQH207" s="1318"/>
      <c r="WQN207" s="1313"/>
      <c r="WQO207" s="1314"/>
      <c r="WQP207" s="1313"/>
      <c r="WQQ207" s="1315"/>
      <c r="WQR207" s="1316"/>
      <c r="WQS207" s="1317"/>
      <c r="WQT207" s="1316"/>
      <c r="WQU207" s="1316"/>
      <c r="WQV207" s="1315"/>
      <c r="WQW207" s="1315"/>
      <c r="WQX207" s="1318"/>
      <c r="WQZ207" s="1320"/>
      <c r="WRA207" s="1320"/>
      <c r="WRB207" s="1318"/>
      <c r="WRC207" s="1318"/>
      <c r="WRI207" s="1313"/>
      <c r="WRJ207" s="1314"/>
      <c r="WRK207" s="1313"/>
      <c r="WRL207" s="1315"/>
      <c r="WRM207" s="1316"/>
      <c r="WRN207" s="1317"/>
      <c r="WRO207" s="1316"/>
      <c r="WRP207" s="1316"/>
      <c r="WRQ207" s="1315"/>
      <c r="WRR207" s="1315"/>
      <c r="WRS207" s="1318"/>
      <c r="WRU207" s="1320"/>
      <c r="WRV207" s="1320"/>
      <c r="WRW207" s="1318"/>
      <c r="WRX207" s="1318"/>
      <c r="WSD207" s="1313"/>
      <c r="WSE207" s="1314"/>
      <c r="WSF207" s="1313"/>
      <c r="WSG207" s="1315"/>
      <c r="WSH207" s="1316"/>
      <c r="WSI207" s="1317"/>
      <c r="WSJ207" s="1316"/>
      <c r="WSK207" s="1316"/>
      <c r="WSL207" s="1315"/>
      <c r="WSM207" s="1315"/>
      <c r="WSN207" s="1318"/>
      <c r="WSP207" s="1320"/>
      <c r="WSQ207" s="1320"/>
      <c r="WSR207" s="1318"/>
      <c r="WSS207" s="1318"/>
      <c r="WSY207" s="1313"/>
      <c r="WSZ207" s="1314"/>
      <c r="WTA207" s="1313"/>
      <c r="WTB207" s="1315"/>
      <c r="WTC207" s="1316"/>
      <c r="WTD207" s="1317"/>
      <c r="WTE207" s="1316"/>
      <c r="WTF207" s="1316"/>
      <c r="WTG207" s="1315"/>
      <c r="WTH207" s="1315"/>
      <c r="WTI207" s="1318"/>
      <c r="WTK207" s="1320"/>
      <c r="WTL207" s="1320"/>
      <c r="WTM207" s="1318"/>
      <c r="WTN207" s="1318"/>
      <c r="WTT207" s="1313"/>
      <c r="WTU207" s="1314"/>
      <c r="WTV207" s="1313"/>
      <c r="WTW207" s="1315"/>
      <c r="WTX207" s="1316"/>
      <c r="WTY207" s="1317"/>
      <c r="WTZ207" s="1316"/>
      <c r="WUA207" s="1316"/>
      <c r="WUB207" s="1315"/>
      <c r="WUC207" s="1315"/>
      <c r="WUD207" s="1318"/>
      <c r="WUF207" s="1320"/>
      <c r="WUG207" s="1320"/>
      <c r="WUH207" s="1318"/>
      <c r="WUI207" s="1318"/>
      <c r="WUO207" s="1313"/>
      <c r="WUP207" s="1314"/>
      <c r="WUQ207" s="1313"/>
      <c r="WUR207" s="1315"/>
      <c r="WUS207" s="1316"/>
      <c r="WUT207" s="1317"/>
      <c r="WUU207" s="1316"/>
      <c r="WUV207" s="1316"/>
      <c r="WUW207" s="1315"/>
      <c r="WUX207" s="1315"/>
      <c r="WUY207" s="1318"/>
      <c r="WVA207" s="1320"/>
      <c r="WVB207" s="1320"/>
      <c r="WVC207" s="1318"/>
      <c r="WVD207" s="1318"/>
      <c r="WVJ207" s="1313"/>
      <c r="WVK207" s="1314"/>
      <c r="WVL207" s="1313"/>
      <c r="WVM207" s="1315"/>
      <c r="WVN207" s="1316"/>
      <c r="WVO207" s="1317"/>
      <c r="WVP207" s="1316"/>
      <c r="WVQ207" s="1316"/>
      <c r="WVR207" s="1315"/>
      <c r="WVS207" s="1315"/>
      <c r="WVT207" s="1318"/>
      <c r="WVV207" s="1320"/>
      <c r="WVW207" s="1320"/>
      <c r="WVX207" s="1318"/>
      <c r="WVY207" s="1318"/>
      <c r="WWE207" s="1313"/>
      <c r="WWF207" s="1314"/>
      <c r="WWG207" s="1313"/>
      <c r="WWH207" s="1315"/>
      <c r="WWI207" s="1316"/>
      <c r="WWJ207" s="1317"/>
      <c r="WWK207" s="1316"/>
      <c r="WWL207" s="1316"/>
      <c r="WWM207" s="1315"/>
      <c r="WWN207" s="1315"/>
      <c r="WWO207" s="1318"/>
      <c r="WWQ207" s="1320"/>
      <c r="WWR207" s="1320"/>
      <c r="WWS207" s="1318"/>
      <c r="WWT207" s="1318"/>
      <c r="WWZ207" s="1313"/>
      <c r="WXA207" s="1314"/>
      <c r="WXB207" s="1313"/>
      <c r="WXC207" s="1315"/>
      <c r="WXD207" s="1316"/>
      <c r="WXE207" s="1317"/>
      <c r="WXF207" s="1316"/>
      <c r="WXG207" s="1316"/>
      <c r="WXH207" s="1315"/>
      <c r="WXI207" s="1315"/>
      <c r="WXJ207" s="1318"/>
      <c r="WXL207" s="1320"/>
      <c r="WXM207" s="1320"/>
      <c r="WXN207" s="1318"/>
      <c r="WXO207" s="1318"/>
      <c r="WXU207" s="1313"/>
      <c r="WXV207" s="1314"/>
      <c r="WXW207" s="1313"/>
      <c r="WXX207" s="1315"/>
      <c r="WXY207" s="1316"/>
      <c r="WXZ207" s="1317"/>
      <c r="WYA207" s="1316"/>
      <c r="WYB207" s="1316"/>
      <c r="WYC207" s="1315"/>
      <c r="WYD207" s="1315"/>
      <c r="WYE207" s="1318"/>
      <c r="WYG207" s="1320"/>
      <c r="WYH207" s="1320"/>
      <c r="WYI207" s="1318"/>
      <c r="WYJ207" s="1318"/>
      <c r="WYP207" s="1313"/>
      <c r="WYQ207" s="1314"/>
      <c r="WYR207" s="1313"/>
      <c r="WYS207" s="1315"/>
      <c r="WYT207" s="1316"/>
      <c r="WYU207" s="1317"/>
      <c r="WYV207" s="1316"/>
      <c r="WYW207" s="1316"/>
      <c r="WYX207" s="1315"/>
      <c r="WYY207" s="1315"/>
      <c r="WYZ207" s="1318"/>
      <c r="WZB207" s="1320"/>
      <c r="WZC207" s="1320"/>
      <c r="WZD207" s="1318"/>
      <c r="WZE207" s="1318"/>
      <c r="WZK207" s="1313"/>
      <c r="WZL207" s="1314"/>
      <c r="WZM207" s="1313"/>
      <c r="WZN207" s="1315"/>
      <c r="WZO207" s="1316"/>
      <c r="WZP207" s="1317"/>
      <c r="WZQ207" s="1316"/>
      <c r="WZR207" s="1316"/>
      <c r="WZS207" s="1315"/>
      <c r="WZT207" s="1315"/>
      <c r="WZU207" s="1318"/>
      <c r="WZW207" s="1320"/>
      <c r="WZX207" s="1320"/>
      <c r="WZY207" s="1318"/>
      <c r="WZZ207" s="1318"/>
      <c r="XAF207" s="1313"/>
      <c r="XAG207" s="1314"/>
      <c r="XAH207" s="1313"/>
      <c r="XAI207" s="1315"/>
      <c r="XAJ207" s="1316"/>
      <c r="XAK207" s="1317"/>
      <c r="XAL207" s="1316"/>
      <c r="XAM207" s="1316"/>
      <c r="XAN207" s="1315"/>
      <c r="XAO207" s="1315"/>
      <c r="XAP207" s="1318"/>
      <c r="XAR207" s="1320"/>
      <c r="XAS207" s="1320"/>
      <c r="XAT207" s="1318"/>
      <c r="XAU207" s="1318"/>
      <c r="XBA207" s="1313"/>
      <c r="XBB207" s="1314"/>
      <c r="XBC207" s="1313"/>
      <c r="XBD207" s="1315"/>
      <c r="XBE207" s="1316"/>
      <c r="XBF207" s="1317"/>
      <c r="XBG207" s="1316"/>
      <c r="XBH207" s="1316"/>
      <c r="XBI207" s="1315"/>
      <c r="XBJ207" s="1315"/>
      <c r="XBK207" s="1318"/>
      <c r="XBM207" s="1320"/>
      <c r="XBN207" s="1320"/>
      <c r="XBO207" s="1318"/>
      <c r="XBP207" s="1318"/>
      <c r="XBV207" s="1313"/>
      <c r="XBW207" s="1314"/>
      <c r="XBX207" s="1313"/>
      <c r="XBY207" s="1315"/>
      <c r="XBZ207" s="1316"/>
      <c r="XCA207" s="1317"/>
      <c r="XCB207" s="1316"/>
      <c r="XCC207" s="1316"/>
      <c r="XCD207" s="1315"/>
      <c r="XCE207" s="1315"/>
      <c r="XCF207" s="1318"/>
      <c r="XCH207" s="1320"/>
      <c r="XCI207" s="1320"/>
      <c r="XCJ207" s="1318"/>
      <c r="XCK207" s="1318"/>
      <c r="XCQ207" s="1313"/>
      <c r="XCR207" s="1314"/>
      <c r="XCS207" s="1313"/>
      <c r="XCT207" s="1315"/>
      <c r="XCU207" s="1316"/>
      <c r="XCV207" s="1317"/>
      <c r="XCW207" s="1316"/>
      <c r="XCX207" s="1316"/>
      <c r="XCY207" s="1315"/>
      <c r="XCZ207" s="1315"/>
      <c r="XDA207" s="1318"/>
      <c r="XDC207" s="1320"/>
      <c r="XDD207" s="1320"/>
      <c r="XDE207" s="1318"/>
      <c r="XDF207" s="1318"/>
      <c r="XDL207" s="1313"/>
      <c r="XDM207" s="1314"/>
      <c r="XDN207" s="1313"/>
      <c r="XDO207" s="1315"/>
      <c r="XDP207" s="1316"/>
      <c r="XDQ207" s="1317"/>
      <c r="XDR207" s="1316"/>
      <c r="XDS207" s="1316"/>
      <c r="XDT207" s="1315"/>
      <c r="XDU207" s="1315"/>
      <c r="XDV207" s="1318"/>
      <c r="XDX207" s="1320"/>
      <c r="XDY207" s="1320"/>
      <c r="XDZ207" s="1318"/>
      <c r="XEA207" s="1318"/>
      <c r="XEG207" s="1313"/>
      <c r="XEH207" s="1314"/>
      <c r="XEI207" s="1313"/>
      <c r="XEJ207" s="1315"/>
      <c r="XEK207" s="1316"/>
      <c r="XEL207" s="1317"/>
      <c r="XEM207" s="1316"/>
      <c r="XEN207" s="1316"/>
      <c r="XEO207" s="1315"/>
      <c r="XEP207" s="1315"/>
      <c r="XEQ207" s="1318"/>
      <c r="XES207" s="1320"/>
      <c r="XET207" s="1320"/>
      <c r="XEU207" s="1318"/>
      <c r="XEV207" s="1318"/>
      <c r="XFB207" s="1313"/>
    </row>
    <row r="208" spans="2:4091 4097:5120 5126:6144 6146:9215 9221:10239 10241:13310 13316:16382" ht="15.75" thickBot="1">
      <c r="B208" s="1503" t="s">
        <v>3806</v>
      </c>
      <c r="C208" s="1504"/>
      <c r="D208" s="1504"/>
      <c r="E208" s="1504"/>
      <c r="F208" s="1504"/>
      <c r="G208" s="1504"/>
      <c r="H208" s="1504"/>
      <c r="I208" s="1504"/>
      <c r="J208" s="1504"/>
      <c r="K208" s="1504"/>
      <c r="L208" s="1504"/>
      <c r="M208" s="1504"/>
      <c r="N208" s="1504"/>
      <c r="O208" s="1504"/>
      <c r="P208" s="1504"/>
      <c r="Q208" s="1504"/>
      <c r="R208" s="1504"/>
      <c r="S208" s="1504"/>
      <c r="T208" s="1505"/>
      <c r="U208" s="1346"/>
      <c r="V208" s="1308"/>
    </row>
    <row r="209" spans="4:4">
      <c r="D209" s="1313"/>
    </row>
    <row r="210" spans="4:4">
      <c r="D210" s="1313"/>
    </row>
    <row r="211" spans="4:4">
      <c r="D211" s="1313"/>
    </row>
    <row r="212" spans="4:4">
      <c r="D212" s="1313"/>
    </row>
    <row r="213" spans="4:4">
      <c r="D213" s="1313"/>
    </row>
    <row r="214" spans="4:4">
      <c r="D214" s="1313"/>
    </row>
    <row r="215" spans="4:4">
      <c r="D215" s="1313"/>
    </row>
    <row r="216" spans="4:4">
      <c r="D216" s="1313"/>
    </row>
    <row r="217" spans="4:4">
      <c r="D217" s="1313"/>
    </row>
    <row r="218" spans="4:4">
      <c r="D218" s="1295"/>
    </row>
  </sheetData>
  <mergeCells count="5">
    <mergeCell ref="T123:T127"/>
    <mergeCell ref="B2:T2"/>
    <mergeCell ref="B3:T3"/>
    <mergeCell ref="B4:T4"/>
    <mergeCell ref="B208:T208"/>
  </mergeCells>
  <conditionalFormatting sqref="U167:XFD168 J167:K168 S167:S168">
    <cfRule type="duplicateValues" dxfId="1" priority="3"/>
  </conditionalFormatting>
  <hyperlinks>
    <hyperlink ref="E34" r:id="rId1" display="khattarrahul@yahoo.co.in"/>
    <hyperlink ref="E35" r:id="rId2" display="g.agrawal@shigan.net"/>
    <hyperlink ref="E39" r:id="rId3" display="jpskharta@gmail.com"/>
    <hyperlink ref="E46" r:id="rId4" display="manabdutta@yahoo.com"/>
    <hyperlink ref="E50" r:id="rId5" display="aayush@asa-partners.com"/>
    <hyperlink ref="E53" r:id="rId6" display="talwarnaresh52@yahoo.com"/>
    <hyperlink ref="E88" r:id="rId7" display="arvind_agrawal1@hotmail.com"/>
    <hyperlink ref="E91" r:id="rId8" display="sharmakc52@gmail.com"/>
    <hyperlink ref="E101" r:id="rId9" display="amitsehwaginld@gmail.com"/>
    <hyperlink ref="E106" r:id="rId10" display="Rajpalmanoj69@gmail.com"/>
    <hyperlink ref="E107" r:id="rId11" display="s.p.ginglani@gmail.com"/>
    <hyperlink ref="E108" r:id="rId12" display="yogesharya2010@gmail.com"/>
    <hyperlink ref="E99" r:id="rId13" display="nininanda01@gmail.com"/>
    <hyperlink ref="E37" r:id="rId14" display="harpreetsethi28@gmail.com"/>
    <hyperlink ref="E103" r:id="rId15" display="cristina_patnaik@hotmail.com"/>
    <hyperlink ref="E104" r:id="rId16" display="mayapat@gmail.com"/>
    <hyperlink ref="E105" r:id="rId17" display="adv.gjain@gmail.com"/>
    <hyperlink ref="E110" r:id="rId18" display="shamsher.54singh@gmail.com"/>
    <hyperlink ref="E8" r:id="rId19" display="aman_deep05@yahoo.com"/>
    <hyperlink ref="E9" r:id="rId20" display="u_anurag@yahoo.com"/>
    <hyperlink ref="E11" r:id="rId21" display="rk95000@yahoo.com"/>
    <hyperlink ref="E12" r:id="rId22" display="adarshkumar77@yahoo.com"/>
    <hyperlink ref="E13" r:id="rId23" display="aluthra@llca.net"/>
    <hyperlink ref="E14" r:id="rId24" display="akhilesh@llca.net"/>
    <hyperlink ref="E15" r:id="rId25" display="amitsodhi@gmail.com"/>
    <hyperlink ref="E17" r:id="rId26" display="yadavamit4@gmail.com"/>
    <hyperlink ref="E18" r:id="rId27" display="veramit1976@gmail.com"/>
    <hyperlink ref="E19" r:id="rId28" display="anant.pokharna@gmail.com"/>
    <hyperlink ref="E20" r:id="rId29" display="amit.gupta100@gmail.com"/>
    <hyperlink ref="E21" r:id="rId30" display="ajaykag@gmail.com"/>
    <hyperlink ref="E22" r:id="rId31" display="arun.anand@spadefinancial.com"/>
    <hyperlink ref="E25" r:id="rId32" display="balvinder52@yahoo.com"/>
    <hyperlink ref="E26" r:id="rId33" display="akmeraagafba@gmail.com"/>
    <hyperlink ref="E27" r:id="rId34" display="vermavishal2511@gmail.com"/>
    <hyperlink ref="E28" r:id="rId35" display="chetanagarwal41@gmail.com"/>
    <hyperlink ref="E30" r:id="rId36" display="nimitvasdev@gmail.com"/>
    <hyperlink ref="E31" r:id="rId37" display="jindaldinesh@yahoo.co.in"/>
    <hyperlink ref="E32" r:id="rId38" display="jindaldivya89@gmail.com"/>
    <hyperlink ref="E33" r:id="rId39" display="Gopal.Thiagarajan@bata.com"/>
    <hyperlink ref="E57" r:id="rId40" display="khattarrahul@yahoo.co.in"/>
    <hyperlink ref="E38" r:id="rId41" display="ankuryadav1988@gmail.com"/>
    <hyperlink ref="E40" r:id="rId42" display="jogeshsahni@rediffmail.com"/>
    <hyperlink ref="E41" r:id="rId43" display="jonykuttyvodafone@gmail.com"/>
    <hyperlink ref="E43" r:id="rId44" display="aayush@asa-partners.com"/>
    <hyperlink ref="E44" r:id="rId45" display="mridul1982@gmail.com"/>
    <hyperlink ref="E45" r:id="rId46" display="mridul1982@gmail.com"/>
    <hyperlink ref="E47" r:id="rId47" display="manavdeeps@gmail.com"/>
    <hyperlink ref="E48" r:id="rId48" display="dr.csm54@gmail.com"/>
    <hyperlink ref="E49" r:id="rId49" display="manoj@skmetalgroup.com"/>
    <hyperlink ref="E51" r:id="rId50" display="nishusharawat@yahoo.com"/>
    <hyperlink ref="E52" r:id="rId51" display="nks464@gmail.com"/>
    <hyperlink ref="E56" r:id="rId52" display="naveenchitkara11@gmail.com"/>
    <hyperlink ref="E58" r:id="rId53" display="prasoon.chauhan.in@gmail.com"/>
    <hyperlink ref="E60" r:id="rId54" display="raj849@gmail.com"/>
    <hyperlink ref="E61" r:id="rId55" display="ravi.engr84@gmail.com"/>
    <hyperlink ref="E62" r:id="rId56" display="Rajeevaggarwal@mindagroup.com"/>
    <hyperlink ref="E63" r:id="rId57" display="rkga@rediffmail.com"/>
    <hyperlink ref="E64" r:id="rId58" display="karan_mehta3@yahoo.com"/>
    <hyperlink ref="E65" r:id="rId59" display="ra_mahajan@live.com"/>
    <hyperlink ref="E66" r:id="rId60" display="rahulpratu@gmail.com"/>
    <hyperlink ref="E68" r:id="rId61" display="gangahar.rakesh@gmail.com"/>
    <hyperlink ref="E69" r:id="rId62" display="aktyad@gmail.com"/>
    <hyperlink ref="E70" r:id="rId63" display="sendvis@gmail.com"/>
    <hyperlink ref="E71" r:id="rId64" display="firstsudhir@yahoo.com"/>
    <hyperlink ref="E72" r:id="rId65" display="associated0001@gmail.com"/>
    <hyperlink ref="E73" r:id="rId66" display="shanker151@gmail.com"/>
    <hyperlink ref="E74" r:id="rId67" display="sandy2015.sa@gmail.com"/>
    <hyperlink ref="E75" r:id="rId68" display="Sunilbhatt@mindagroup.com"/>
    <hyperlink ref="E76" r:id="rId69" display="dps21sk@yahoo.co.in"/>
    <hyperlink ref="E77" r:id="rId70" display="yogarora962@gmail.com"/>
    <hyperlink ref="E82" r:id="rId71" display="s.agrawal@shigan.net"/>
    <hyperlink ref="E109" r:id="rId72" display="venirgupta@gmail.com"/>
    <hyperlink ref="E102" r:id="rId73" display="ravinderaggarwal08@gmail.com"/>
    <hyperlink ref="E29" r:id="rId74" display="guptavineet82@gmail.com"/>
    <hyperlink ref="E42" r:id="rId75" display="mailto:guptavineet82@gmail.com"/>
    <hyperlink ref="E54" r:id="rId76" display="mailto:npgoyal2001@yahoo.com"/>
    <hyperlink ref="E59" r:id="rId77" display="mailto:npgoyal2001@yahoo.com"/>
    <hyperlink ref="E78" r:id="rId78" display="sanjeevkumargarg@gmail.com"/>
    <hyperlink ref="E113" r:id="rId79" display="aditya.mehta35@gmail.com"/>
    <hyperlink ref="E114" r:id="rId80" display="sahajvineet@gmail.com"/>
    <hyperlink ref="E115" r:id="rId81" display="sahajvineet@gmail.com"/>
    <hyperlink ref="E122" r:id="rId82" display="cbatra.bsa@bsa.co.in"/>
    <hyperlink ref="E121" r:id="rId83" display="dinesh1U@yahoo.co.in"/>
    <hyperlink ref="E123" r:id="rId84" display="sx49630@yahoo.com"/>
    <hyperlink ref="E124" r:id="rId85" display="bansalneeru@hotmail.com"/>
    <hyperlink ref="E125" r:id="rId86" display="ankit.g78@gmail.com"/>
    <hyperlink ref="E126" r:id="rId87" display="rjain2k@hotmail.com"/>
    <hyperlink ref="E127" r:id="rId88" display="sumeet.dhiman67@gmail.com"/>
    <hyperlink ref="E129" r:id="rId89" display="sameer@adabsinghkapoor.com"/>
    <hyperlink ref="E130" r:id="rId90" display="sameer@adabsinghkapoor.com"/>
    <hyperlink ref="E131" r:id="rId91" display="sameer@adabsinghkapoor.com"/>
    <hyperlink ref="E132" r:id="rId92" display="sameer@adabsinghkapoor.com"/>
    <hyperlink ref="E133" r:id="rId93" display="sameer@adabsinghkapoor.com"/>
    <hyperlink ref="E147" r:id="rId94" display="munish.mathur72@gmail.com"/>
    <hyperlink ref="E148" r:id="rId95" display="gulshankumarjolly@yahoo.co.in"/>
    <hyperlink ref="E10" r:id="rId96" display="arvindkochar62@gmail.com"/>
    <hyperlink ref="E55" r:id="rId97" display="nitz.gulati@yahoo.com"/>
    <hyperlink ref="E176" r:id="rId98" display="syadavpolsc@gmail.com"/>
    <hyperlink ref="E167" r:id="rId99" display="bcasha9@gmail.com"/>
    <hyperlink ref="E168" r:id="rId100" display="hsingh@tenac.net"/>
  </hyperlinks>
  <printOptions horizontalCentered="1"/>
  <pageMargins left="0.37" right="0.17" top="0.49" bottom="0.75" header="0.33" footer="0.3"/>
  <pageSetup paperSize="5" scale="87" fitToHeight="10" orientation="landscape" r:id="rId101"/>
  <rowBreaks count="2" manualBreakCount="2">
    <brk id="176" min="1" max="19" man="1"/>
    <brk id="197" min="1" max="19" man="1"/>
  </rowBreaks>
</worksheet>
</file>

<file path=xl/worksheets/sheet16.xml><?xml version="1.0" encoding="utf-8"?>
<worksheet xmlns="http://schemas.openxmlformats.org/spreadsheetml/2006/main" xmlns:r="http://schemas.openxmlformats.org/officeDocument/2006/relationships">
  <dimension ref="A1:O1118"/>
  <sheetViews>
    <sheetView topLeftCell="B1" workbookViewId="0">
      <selection activeCell="C7" sqref="C7"/>
    </sheetView>
  </sheetViews>
  <sheetFormatPr defaultRowHeight="15.75"/>
  <cols>
    <col min="1" max="2" width="6.140625" style="944" customWidth="1"/>
    <col min="3" max="3" width="8.140625" style="983" customWidth="1"/>
    <col min="4" max="4" width="24.28515625" style="984" customWidth="1"/>
    <col min="5" max="5" width="41" style="984" customWidth="1"/>
    <col min="6" max="6" width="25.5703125" style="984" hidden="1" customWidth="1"/>
    <col min="7" max="7" width="22.5703125" style="955" bestFit="1" customWidth="1"/>
    <col min="8" max="8" width="23.5703125" style="955" customWidth="1"/>
    <col min="9" max="9" width="21.7109375" style="955" customWidth="1"/>
    <col min="10" max="10" width="29.42578125" style="955" bestFit="1" customWidth="1"/>
    <col min="11" max="11" width="14.42578125" style="982" customWidth="1"/>
    <col min="12" max="253" width="9.140625" style="944"/>
    <col min="254" max="254" width="24.5703125" style="944" customWidth="1"/>
    <col min="255" max="255" width="18.140625" style="944" customWidth="1"/>
    <col min="256" max="256" width="36.5703125" style="944" customWidth="1"/>
    <col min="257" max="509" width="9.140625" style="944"/>
    <col min="510" max="510" width="24.5703125" style="944" customWidth="1"/>
    <col min="511" max="511" width="18.140625" style="944" customWidth="1"/>
    <col min="512" max="512" width="36.5703125" style="944" customWidth="1"/>
    <col min="513" max="765" width="9.140625" style="944"/>
    <col min="766" max="766" width="24.5703125" style="944" customWidth="1"/>
    <col min="767" max="767" width="18.140625" style="944" customWidth="1"/>
    <col min="768" max="768" width="36.5703125" style="944" customWidth="1"/>
    <col min="769" max="1021" width="9.140625" style="944"/>
    <col min="1022" max="1022" width="24.5703125" style="944" customWidth="1"/>
    <col min="1023" max="1023" width="18.140625" style="944" customWidth="1"/>
    <col min="1024" max="1024" width="36.5703125" style="944" customWidth="1"/>
    <col min="1025" max="1277" width="9.140625" style="944"/>
    <col min="1278" max="1278" width="24.5703125" style="944" customWidth="1"/>
    <col min="1279" max="1279" width="18.140625" style="944" customWidth="1"/>
    <col min="1280" max="1280" width="36.5703125" style="944" customWidth="1"/>
    <col min="1281" max="1533" width="9.140625" style="944"/>
    <col min="1534" max="1534" width="24.5703125" style="944" customWidth="1"/>
    <col min="1535" max="1535" width="18.140625" style="944" customWidth="1"/>
    <col min="1536" max="1536" width="36.5703125" style="944" customWidth="1"/>
    <col min="1537" max="1789" width="9.140625" style="944"/>
    <col min="1790" max="1790" width="24.5703125" style="944" customWidth="1"/>
    <col min="1791" max="1791" width="18.140625" style="944" customWidth="1"/>
    <col min="1792" max="1792" width="36.5703125" style="944" customWidth="1"/>
    <col min="1793" max="2045" width="9.140625" style="944"/>
    <col min="2046" max="2046" width="24.5703125" style="944" customWidth="1"/>
    <col min="2047" max="2047" width="18.140625" style="944" customWidth="1"/>
    <col min="2048" max="2048" width="36.5703125" style="944" customWidth="1"/>
    <col min="2049" max="2301" width="9.140625" style="944"/>
    <col min="2302" max="2302" width="24.5703125" style="944" customWidth="1"/>
    <col min="2303" max="2303" width="18.140625" style="944" customWidth="1"/>
    <col min="2304" max="2304" width="36.5703125" style="944" customWidth="1"/>
    <col min="2305" max="2557" width="9.140625" style="944"/>
    <col min="2558" max="2558" width="24.5703125" style="944" customWidth="1"/>
    <col min="2559" max="2559" width="18.140625" style="944" customWidth="1"/>
    <col min="2560" max="2560" width="36.5703125" style="944" customWidth="1"/>
    <col min="2561" max="2813" width="9.140625" style="944"/>
    <col min="2814" max="2814" width="24.5703125" style="944" customWidth="1"/>
    <col min="2815" max="2815" width="18.140625" style="944" customWidth="1"/>
    <col min="2816" max="2816" width="36.5703125" style="944" customWidth="1"/>
    <col min="2817" max="3069" width="9.140625" style="944"/>
    <col min="3070" max="3070" width="24.5703125" style="944" customWidth="1"/>
    <col min="3071" max="3071" width="18.140625" style="944" customWidth="1"/>
    <col min="3072" max="3072" width="36.5703125" style="944" customWidth="1"/>
    <col min="3073" max="3325" width="9.140625" style="944"/>
    <col min="3326" max="3326" width="24.5703125" style="944" customWidth="1"/>
    <col min="3327" max="3327" width="18.140625" style="944" customWidth="1"/>
    <col min="3328" max="3328" width="36.5703125" style="944" customWidth="1"/>
    <col min="3329" max="3581" width="9.140625" style="944"/>
    <col min="3582" max="3582" width="24.5703125" style="944" customWidth="1"/>
    <col min="3583" max="3583" width="18.140625" style="944" customWidth="1"/>
    <col min="3584" max="3584" width="36.5703125" style="944" customWidth="1"/>
    <col min="3585" max="3837" width="9.140625" style="944"/>
    <col min="3838" max="3838" width="24.5703125" style="944" customWidth="1"/>
    <col min="3839" max="3839" width="18.140625" style="944" customWidth="1"/>
    <col min="3840" max="3840" width="36.5703125" style="944" customWidth="1"/>
    <col min="3841" max="4093" width="9.140625" style="944"/>
    <col min="4094" max="4094" width="24.5703125" style="944" customWidth="1"/>
    <col min="4095" max="4095" width="18.140625" style="944" customWidth="1"/>
    <col min="4096" max="4096" width="36.5703125" style="944" customWidth="1"/>
    <col min="4097" max="4349" width="9.140625" style="944"/>
    <col min="4350" max="4350" width="24.5703125" style="944" customWidth="1"/>
    <col min="4351" max="4351" width="18.140625" style="944" customWidth="1"/>
    <col min="4352" max="4352" width="36.5703125" style="944" customWidth="1"/>
    <col min="4353" max="4605" width="9.140625" style="944"/>
    <col min="4606" max="4606" width="24.5703125" style="944" customWidth="1"/>
    <col min="4607" max="4607" width="18.140625" style="944" customWidth="1"/>
    <col min="4608" max="4608" width="36.5703125" style="944" customWidth="1"/>
    <col min="4609" max="4861" width="9.140625" style="944"/>
    <col min="4862" max="4862" width="24.5703125" style="944" customWidth="1"/>
    <col min="4863" max="4863" width="18.140625" style="944" customWidth="1"/>
    <col min="4864" max="4864" width="36.5703125" style="944" customWidth="1"/>
    <col min="4865" max="5117" width="9.140625" style="944"/>
    <col min="5118" max="5118" width="24.5703125" style="944" customWidth="1"/>
    <col min="5119" max="5119" width="18.140625" style="944" customWidth="1"/>
    <col min="5120" max="5120" width="36.5703125" style="944" customWidth="1"/>
    <col min="5121" max="5373" width="9.140625" style="944"/>
    <col min="5374" max="5374" width="24.5703125" style="944" customWidth="1"/>
    <col min="5375" max="5375" width="18.140625" style="944" customWidth="1"/>
    <col min="5376" max="5376" width="36.5703125" style="944" customWidth="1"/>
    <col min="5377" max="5629" width="9.140625" style="944"/>
    <col min="5630" max="5630" width="24.5703125" style="944" customWidth="1"/>
    <col min="5631" max="5631" width="18.140625" style="944" customWidth="1"/>
    <col min="5632" max="5632" width="36.5703125" style="944" customWidth="1"/>
    <col min="5633" max="5885" width="9.140625" style="944"/>
    <col min="5886" max="5886" width="24.5703125" style="944" customWidth="1"/>
    <col min="5887" max="5887" width="18.140625" style="944" customWidth="1"/>
    <col min="5888" max="5888" width="36.5703125" style="944" customWidth="1"/>
    <col min="5889" max="6141" width="9.140625" style="944"/>
    <col min="6142" max="6142" width="24.5703125" style="944" customWidth="1"/>
    <col min="6143" max="6143" width="18.140625" style="944" customWidth="1"/>
    <col min="6144" max="6144" width="36.5703125" style="944" customWidth="1"/>
    <col min="6145" max="6397" width="9.140625" style="944"/>
    <col min="6398" max="6398" width="24.5703125" style="944" customWidth="1"/>
    <col min="6399" max="6399" width="18.140625" style="944" customWidth="1"/>
    <col min="6400" max="6400" width="36.5703125" style="944" customWidth="1"/>
    <col min="6401" max="6653" width="9.140625" style="944"/>
    <col min="6654" max="6654" width="24.5703125" style="944" customWidth="1"/>
    <col min="6655" max="6655" width="18.140625" style="944" customWidth="1"/>
    <col min="6656" max="6656" width="36.5703125" style="944" customWidth="1"/>
    <col min="6657" max="6909" width="9.140625" style="944"/>
    <col min="6910" max="6910" width="24.5703125" style="944" customWidth="1"/>
    <col min="6911" max="6911" width="18.140625" style="944" customWidth="1"/>
    <col min="6912" max="6912" width="36.5703125" style="944" customWidth="1"/>
    <col min="6913" max="7165" width="9.140625" style="944"/>
    <col min="7166" max="7166" width="24.5703125" style="944" customWidth="1"/>
    <col min="7167" max="7167" width="18.140625" style="944" customWidth="1"/>
    <col min="7168" max="7168" width="36.5703125" style="944" customWidth="1"/>
    <col min="7169" max="7421" width="9.140625" style="944"/>
    <col min="7422" max="7422" width="24.5703125" style="944" customWidth="1"/>
    <col min="7423" max="7423" width="18.140625" style="944" customWidth="1"/>
    <col min="7424" max="7424" width="36.5703125" style="944" customWidth="1"/>
    <col min="7425" max="7677" width="9.140625" style="944"/>
    <col min="7678" max="7678" width="24.5703125" style="944" customWidth="1"/>
    <col min="7679" max="7679" width="18.140625" style="944" customWidth="1"/>
    <col min="7680" max="7680" width="36.5703125" style="944" customWidth="1"/>
    <col min="7681" max="7933" width="9.140625" style="944"/>
    <col min="7934" max="7934" width="24.5703125" style="944" customWidth="1"/>
    <col min="7935" max="7935" width="18.140625" style="944" customWidth="1"/>
    <col min="7936" max="7936" width="36.5703125" style="944" customWidth="1"/>
    <col min="7937" max="8189" width="9.140625" style="944"/>
    <col min="8190" max="8190" width="24.5703125" style="944" customWidth="1"/>
    <col min="8191" max="8191" width="18.140625" style="944" customWidth="1"/>
    <col min="8192" max="8192" width="36.5703125" style="944" customWidth="1"/>
    <col min="8193" max="8445" width="9.140625" style="944"/>
    <col min="8446" max="8446" width="24.5703125" style="944" customWidth="1"/>
    <col min="8447" max="8447" width="18.140625" style="944" customWidth="1"/>
    <col min="8448" max="8448" width="36.5703125" style="944" customWidth="1"/>
    <col min="8449" max="8701" width="9.140625" style="944"/>
    <col min="8702" max="8702" width="24.5703125" style="944" customWidth="1"/>
    <col min="8703" max="8703" width="18.140625" style="944" customWidth="1"/>
    <col min="8704" max="8704" width="36.5703125" style="944" customWidth="1"/>
    <col min="8705" max="8957" width="9.140625" style="944"/>
    <col min="8958" max="8958" width="24.5703125" style="944" customWidth="1"/>
    <col min="8959" max="8959" width="18.140625" style="944" customWidth="1"/>
    <col min="8960" max="8960" width="36.5703125" style="944" customWidth="1"/>
    <col min="8961" max="9213" width="9.140625" style="944"/>
    <col min="9214" max="9214" width="24.5703125" style="944" customWidth="1"/>
    <col min="9215" max="9215" width="18.140625" style="944" customWidth="1"/>
    <col min="9216" max="9216" width="36.5703125" style="944" customWidth="1"/>
    <col min="9217" max="9469" width="9.140625" style="944"/>
    <col min="9470" max="9470" width="24.5703125" style="944" customWidth="1"/>
    <col min="9471" max="9471" width="18.140625" style="944" customWidth="1"/>
    <col min="9472" max="9472" width="36.5703125" style="944" customWidth="1"/>
    <col min="9473" max="9725" width="9.140625" style="944"/>
    <col min="9726" max="9726" width="24.5703125" style="944" customWidth="1"/>
    <col min="9727" max="9727" width="18.140625" style="944" customWidth="1"/>
    <col min="9728" max="9728" width="36.5703125" style="944" customWidth="1"/>
    <col min="9729" max="9981" width="9.140625" style="944"/>
    <col min="9982" max="9982" width="24.5703125" style="944" customWidth="1"/>
    <col min="9983" max="9983" width="18.140625" style="944" customWidth="1"/>
    <col min="9984" max="9984" width="36.5703125" style="944" customWidth="1"/>
    <col min="9985" max="10237" width="9.140625" style="944"/>
    <col min="10238" max="10238" width="24.5703125" style="944" customWidth="1"/>
    <col min="10239" max="10239" width="18.140625" style="944" customWidth="1"/>
    <col min="10240" max="10240" width="36.5703125" style="944" customWidth="1"/>
    <col min="10241" max="10493" width="9.140625" style="944"/>
    <col min="10494" max="10494" width="24.5703125" style="944" customWidth="1"/>
    <col min="10495" max="10495" width="18.140625" style="944" customWidth="1"/>
    <col min="10496" max="10496" width="36.5703125" style="944" customWidth="1"/>
    <col min="10497" max="10749" width="9.140625" style="944"/>
    <col min="10750" max="10750" width="24.5703125" style="944" customWidth="1"/>
    <col min="10751" max="10751" width="18.140625" style="944" customWidth="1"/>
    <col min="10752" max="10752" width="36.5703125" style="944" customWidth="1"/>
    <col min="10753" max="11005" width="9.140625" style="944"/>
    <col min="11006" max="11006" width="24.5703125" style="944" customWidth="1"/>
    <col min="11007" max="11007" width="18.140625" style="944" customWidth="1"/>
    <col min="11008" max="11008" width="36.5703125" style="944" customWidth="1"/>
    <col min="11009" max="11261" width="9.140625" style="944"/>
    <col min="11262" max="11262" width="24.5703125" style="944" customWidth="1"/>
    <col min="11263" max="11263" width="18.140625" style="944" customWidth="1"/>
    <col min="11264" max="11264" width="36.5703125" style="944" customWidth="1"/>
    <col min="11265" max="11517" width="9.140625" style="944"/>
    <col min="11518" max="11518" width="24.5703125" style="944" customWidth="1"/>
    <col min="11519" max="11519" width="18.140625" style="944" customWidth="1"/>
    <col min="11520" max="11520" width="36.5703125" style="944" customWidth="1"/>
    <col min="11521" max="11773" width="9.140625" style="944"/>
    <col min="11774" max="11774" width="24.5703125" style="944" customWidth="1"/>
    <col min="11775" max="11775" width="18.140625" style="944" customWidth="1"/>
    <col min="11776" max="11776" width="36.5703125" style="944" customWidth="1"/>
    <col min="11777" max="12029" width="9.140625" style="944"/>
    <col min="12030" max="12030" width="24.5703125" style="944" customWidth="1"/>
    <col min="12031" max="12031" width="18.140625" style="944" customWidth="1"/>
    <col min="12032" max="12032" width="36.5703125" style="944" customWidth="1"/>
    <col min="12033" max="12285" width="9.140625" style="944"/>
    <col min="12286" max="12286" width="24.5703125" style="944" customWidth="1"/>
    <col min="12287" max="12287" width="18.140625" style="944" customWidth="1"/>
    <col min="12288" max="12288" width="36.5703125" style="944" customWidth="1"/>
    <col min="12289" max="12541" width="9.140625" style="944"/>
    <col min="12542" max="12542" width="24.5703125" style="944" customWidth="1"/>
    <col min="12543" max="12543" width="18.140625" style="944" customWidth="1"/>
    <col min="12544" max="12544" width="36.5703125" style="944" customWidth="1"/>
    <col min="12545" max="12797" width="9.140625" style="944"/>
    <col min="12798" max="12798" width="24.5703125" style="944" customWidth="1"/>
    <col min="12799" max="12799" width="18.140625" style="944" customWidth="1"/>
    <col min="12800" max="12800" width="36.5703125" style="944" customWidth="1"/>
    <col min="12801" max="13053" width="9.140625" style="944"/>
    <col min="13054" max="13054" width="24.5703125" style="944" customWidth="1"/>
    <col min="13055" max="13055" width="18.140625" style="944" customWidth="1"/>
    <col min="13056" max="13056" width="36.5703125" style="944" customWidth="1"/>
    <col min="13057" max="13309" width="9.140625" style="944"/>
    <col min="13310" max="13310" width="24.5703125" style="944" customWidth="1"/>
    <col min="13311" max="13311" width="18.140625" style="944" customWidth="1"/>
    <col min="13312" max="13312" width="36.5703125" style="944" customWidth="1"/>
    <col min="13313" max="13565" width="9.140625" style="944"/>
    <col min="13566" max="13566" width="24.5703125" style="944" customWidth="1"/>
    <col min="13567" max="13567" width="18.140625" style="944" customWidth="1"/>
    <col min="13568" max="13568" width="36.5703125" style="944" customWidth="1"/>
    <col min="13569" max="13821" width="9.140625" style="944"/>
    <col min="13822" max="13822" width="24.5703125" style="944" customWidth="1"/>
    <col min="13823" max="13823" width="18.140625" style="944" customWidth="1"/>
    <col min="13824" max="13824" width="36.5703125" style="944" customWidth="1"/>
    <col min="13825" max="14077" width="9.140625" style="944"/>
    <col min="14078" max="14078" width="24.5703125" style="944" customWidth="1"/>
    <col min="14079" max="14079" width="18.140625" style="944" customWidth="1"/>
    <col min="14080" max="14080" width="36.5703125" style="944" customWidth="1"/>
    <col min="14081" max="14333" width="9.140625" style="944"/>
    <col min="14334" max="14334" width="24.5703125" style="944" customWidth="1"/>
    <col min="14335" max="14335" width="18.140625" style="944" customWidth="1"/>
    <col min="14336" max="14336" width="36.5703125" style="944" customWidth="1"/>
    <col min="14337" max="14589" width="9.140625" style="944"/>
    <col min="14590" max="14590" width="24.5703125" style="944" customWidth="1"/>
    <col min="14591" max="14591" width="18.140625" style="944" customWidth="1"/>
    <col min="14592" max="14592" width="36.5703125" style="944" customWidth="1"/>
    <col min="14593" max="14845" width="9.140625" style="944"/>
    <col min="14846" max="14846" width="24.5703125" style="944" customWidth="1"/>
    <col min="14847" max="14847" width="18.140625" style="944" customWidth="1"/>
    <col min="14848" max="14848" width="36.5703125" style="944" customWidth="1"/>
    <col min="14849" max="15101" width="9.140625" style="944"/>
    <col min="15102" max="15102" width="24.5703125" style="944" customWidth="1"/>
    <col min="15103" max="15103" width="18.140625" style="944" customWidth="1"/>
    <col min="15104" max="15104" width="36.5703125" style="944" customWidth="1"/>
    <col min="15105" max="15357" width="9.140625" style="944"/>
    <col min="15358" max="15358" width="24.5703125" style="944" customWidth="1"/>
    <col min="15359" max="15359" width="18.140625" style="944" customWidth="1"/>
    <col min="15360" max="15360" width="36.5703125" style="944" customWidth="1"/>
    <col min="15361" max="15613" width="9.140625" style="944"/>
    <col min="15614" max="15614" width="24.5703125" style="944" customWidth="1"/>
    <col min="15615" max="15615" width="18.140625" style="944" customWidth="1"/>
    <col min="15616" max="15616" width="36.5703125" style="944" customWidth="1"/>
    <col min="15617" max="15869" width="9.140625" style="944"/>
    <col min="15870" max="15870" width="24.5703125" style="944" customWidth="1"/>
    <col min="15871" max="15871" width="18.140625" style="944" customWidth="1"/>
    <col min="15872" max="15872" width="36.5703125" style="944" customWidth="1"/>
    <col min="15873" max="16125" width="9.140625" style="944"/>
    <col min="16126" max="16126" width="24.5703125" style="944" customWidth="1"/>
    <col min="16127" max="16127" width="18.140625" style="944" customWidth="1"/>
    <col min="16128" max="16128" width="36.5703125" style="944" customWidth="1"/>
    <col min="16129" max="16384" width="9.140625" style="944"/>
  </cols>
  <sheetData>
    <row r="1" spans="1:15" ht="16.5" thickBot="1">
      <c r="A1" s="982"/>
      <c r="B1" s="982"/>
      <c r="C1" s="982"/>
    </row>
    <row r="2" spans="1:15" ht="19.5" customHeight="1">
      <c r="C2" s="1515" t="s">
        <v>3813</v>
      </c>
      <c r="D2" s="1516"/>
      <c r="E2" s="1516"/>
      <c r="F2" s="1516"/>
      <c r="G2" s="1516"/>
      <c r="H2" s="1516"/>
      <c r="I2" s="1516"/>
      <c r="J2" s="1517"/>
      <c r="K2" s="944"/>
    </row>
    <row r="3" spans="1:15" ht="22.5" customHeight="1">
      <c r="C3" s="1512" t="s">
        <v>3814</v>
      </c>
      <c r="D3" s="1513"/>
      <c r="E3" s="1513"/>
      <c r="F3" s="1513"/>
      <c r="G3" s="1513"/>
      <c r="H3" s="1513"/>
      <c r="I3" s="1513"/>
      <c r="J3" s="1514"/>
      <c r="K3" s="944"/>
    </row>
    <row r="4" spans="1:15" ht="39" customHeight="1">
      <c r="C4" s="1765" t="s">
        <v>3809</v>
      </c>
      <c r="D4" s="1766"/>
      <c r="E4" s="1766"/>
      <c r="F4" s="1766"/>
      <c r="G4" s="1766"/>
      <c r="H4" s="1766"/>
      <c r="I4" s="1766"/>
      <c r="J4" s="1767"/>
      <c r="K4" s="944"/>
      <c r="M4" s="987"/>
    </row>
    <row r="5" spans="1:15" ht="31.5">
      <c r="C5" s="1011" t="s">
        <v>2868</v>
      </c>
      <c r="D5" s="985" t="s">
        <v>2912</v>
      </c>
      <c r="E5" s="985" t="s">
        <v>2408</v>
      </c>
      <c r="F5" s="985" t="s">
        <v>2914</v>
      </c>
      <c r="G5" s="986" t="s">
        <v>2913</v>
      </c>
      <c r="H5" s="986" t="s">
        <v>3483</v>
      </c>
      <c r="I5" s="986" t="s">
        <v>3816</v>
      </c>
      <c r="J5" s="1043" t="s">
        <v>2959</v>
      </c>
      <c r="K5" s="944"/>
      <c r="N5" s="982"/>
    </row>
    <row r="6" spans="1:15" ht="28.5">
      <c r="C6" s="1360">
        <v>1</v>
      </c>
      <c r="D6" s="1363" t="s">
        <v>3278</v>
      </c>
      <c r="E6" s="1363" t="s">
        <v>3298</v>
      </c>
      <c r="F6" s="1361">
        <v>451271</v>
      </c>
      <c r="G6" s="1400">
        <v>695671</v>
      </c>
      <c r="H6" s="1400">
        <v>614771</v>
      </c>
      <c r="I6" s="1401">
        <v>0</v>
      </c>
      <c r="J6" s="1362">
        <f>+G6-H6</f>
        <v>80900</v>
      </c>
      <c r="K6" s="944"/>
      <c r="M6" s="987"/>
      <c r="N6" s="987"/>
    </row>
    <row r="7" spans="1:15" ht="28.5">
      <c r="C7" s="1360">
        <v>2</v>
      </c>
      <c r="D7" s="1363" t="s">
        <v>3279</v>
      </c>
      <c r="E7" s="1363" t="s">
        <v>3299</v>
      </c>
      <c r="F7" s="1361">
        <v>675</v>
      </c>
      <c r="G7" s="1400">
        <v>3310838</v>
      </c>
      <c r="H7" s="1401">
        <v>0</v>
      </c>
      <c r="I7" s="1401">
        <v>0</v>
      </c>
      <c r="J7" s="1362">
        <f t="shared" ref="J7:J27" si="0">+G7</f>
        <v>3310838</v>
      </c>
      <c r="K7" s="944"/>
    </row>
    <row r="8" spans="1:15" ht="28.5">
      <c r="C8" s="1360">
        <v>3</v>
      </c>
      <c r="D8" s="1363" t="s">
        <v>3280</v>
      </c>
      <c r="E8" s="1363" t="s">
        <v>3300</v>
      </c>
      <c r="F8" s="1361">
        <v>21114937</v>
      </c>
      <c r="G8" s="1400">
        <v>63114148</v>
      </c>
      <c r="H8" s="1401">
        <v>0</v>
      </c>
      <c r="I8" s="1401">
        <v>0</v>
      </c>
      <c r="J8" s="1362">
        <f t="shared" si="0"/>
        <v>63114148</v>
      </c>
      <c r="K8" s="944"/>
      <c r="O8" s="982"/>
    </row>
    <row r="9" spans="1:15" ht="42.75">
      <c r="C9" s="1360">
        <v>4</v>
      </c>
      <c r="D9" s="1363" t="s">
        <v>3281</v>
      </c>
      <c r="E9" s="1363" t="s">
        <v>3301</v>
      </c>
      <c r="F9" s="1361">
        <v>8877669</v>
      </c>
      <c r="G9" s="1400">
        <v>8993860</v>
      </c>
      <c r="H9" s="1401">
        <f>8993860-36517-562</f>
        <v>8956781</v>
      </c>
      <c r="I9" s="1401">
        <v>0</v>
      </c>
      <c r="J9" s="1362">
        <v>0</v>
      </c>
      <c r="K9" s="944"/>
      <c r="O9" s="982"/>
    </row>
    <row r="10" spans="1:15" ht="71.25">
      <c r="C10" s="1360">
        <v>5</v>
      </c>
      <c r="D10" s="1363" t="s">
        <v>3282</v>
      </c>
      <c r="E10" s="1363" t="s">
        <v>3302</v>
      </c>
      <c r="F10" s="1361"/>
      <c r="G10" s="1400">
        <v>24675000</v>
      </c>
      <c r="H10" s="1401">
        <v>0</v>
      </c>
      <c r="I10" s="1401">
        <v>0</v>
      </c>
      <c r="J10" s="1362">
        <f t="shared" si="0"/>
        <v>24675000</v>
      </c>
      <c r="K10" s="944"/>
      <c r="O10" s="982"/>
    </row>
    <row r="11" spans="1:15" ht="28.5">
      <c r="C11" s="1360">
        <v>6</v>
      </c>
      <c r="D11" s="1363" t="s">
        <v>3283</v>
      </c>
      <c r="E11" s="1363" t="s">
        <v>3303</v>
      </c>
      <c r="F11" s="1361">
        <v>764072</v>
      </c>
      <c r="G11" s="1400">
        <v>1589767</v>
      </c>
      <c r="H11" s="1400">
        <v>764072</v>
      </c>
      <c r="I11" s="1401">
        <v>0</v>
      </c>
      <c r="J11" s="1362">
        <f>+G11-H11</f>
        <v>825695</v>
      </c>
      <c r="K11" s="944"/>
      <c r="O11" s="982"/>
    </row>
    <row r="12" spans="1:15" ht="28.5">
      <c r="C12" s="1360">
        <v>7</v>
      </c>
      <c r="D12" s="1363" t="s">
        <v>3284</v>
      </c>
      <c r="E12" s="1363" t="s">
        <v>3304</v>
      </c>
      <c r="F12" s="1361"/>
      <c r="G12" s="1400">
        <v>3771905.5300000003</v>
      </c>
      <c r="H12" s="1401">
        <v>0</v>
      </c>
      <c r="I12" s="1401">
        <v>0</v>
      </c>
      <c r="J12" s="1362">
        <f t="shared" si="0"/>
        <v>3771905.5300000003</v>
      </c>
      <c r="K12" s="944"/>
      <c r="O12" s="982"/>
    </row>
    <row r="13" spans="1:15" ht="28.5">
      <c r="C13" s="1360">
        <v>8</v>
      </c>
      <c r="D13" s="1363" t="s">
        <v>3285</v>
      </c>
      <c r="E13" s="1363" t="s">
        <v>3305</v>
      </c>
      <c r="F13" s="1361"/>
      <c r="G13" s="1400">
        <v>1582482</v>
      </c>
      <c r="H13" s="1401">
        <v>0</v>
      </c>
      <c r="I13" s="1401">
        <v>0</v>
      </c>
      <c r="J13" s="1362">
        <f t="shared" si="0"/>
        <v>1582482</v>
      </c>
      <c r="K13" s="944"/>
      <c r="O13" s="982"/>
    </row>
    <row r="14" spans="1:15" ht="28.5">
      <c r="C14" s="1360">
        <v>9</v>
      </c>
      <c r="D14" s="1363" t="s">
        <v>3286</v>
      </c>
      <c r="E14" s="1363" t="s">
        <v>3306</v>
      </c>
      <c r="F14" s="1361">
        <v>16429638</v>
      </c>
      <c r="G14" s="1400">
        <v>22292191</v>
      </c>
      <c r="H14" s="1401">
        <v>0</v>
      </c>
      <c r="I14" s="1401">
        <v>0</v>
      </c>
      <c r="J14" s="1362">
        <f t="shared" si="0"/>
        <v>22292191</v>
      </c>
      <c r="K14" s="944"/>
      <c r="O14" s="982"/>
    </row>
    <row r="15" spans="1:15" ht="57">
      <c r="C15" s="1360">
        <v>10</v>
      </c>
      <c r="D15" s="1363" t="s">
        <v>3287</v>
      </c>
      <c r="E15" s="1363" t="s">
        <v>3307</v>
      </c>
      <c r="F15" s="1361"/>
      <c r="G15" s="1400">
        <v>10490320</v>
      </c>
      <c r="H15" s="1401">
        <v>0</v>
      </c>
      <c r="I15" s="1401">
        <v>0</v>
      </c>
      <c r="J15" s="1362">
        <f t="shared" si="0"/>
        <v>10490320</v>
      </c>
      <c r="K15" s="944"/>
      <c r="O15" s="982"/>
    </row>
    <row r="16" spans="1:15" ht="28.5">
      <c r="C16" s="1360">
        <v>11</v>
      </c>
      <c r="D16" s="1363" t="s">
        <v>3288</v>
      </c>
      <c r="E16" s="1363" t="s">
        <v>3308</v>
      </c>
      <c r="F16" s="1361"/>
      <c r="G16" s="1400">
        <v>401601919</v>
      </c>
      <c r="H16" s="1401">
        <v>0</v>
      </c>
      <c r="I16" s="1401">
        <v>0</v>
      </c>
      <c r="J16" s="1362">
        <f t="shared" si="0"/>
        <v>401601919</v>
      </c>
      <c r="K16" s="944"/>
      <c r="O16" s="982"/>
    </row>
    <row r="17" spans="1:15">
      <c r="C17" s="1360">
        <v>12</v>
      </c>
      <c r="D17" s="1363" t="s">
        <v>3289</v>
      </c>
      <c r="E17" s="1363" t="s">
        <v>3309</v>
      </c>
      <c r="F17" s="1361">
        <v>2913919</v>
      </c>
      <c r="G17" s="1400">
        <v>4611521</v>
      </c>
      <c r="H17" s="1364">
        <v>2913919</v>
      </c>
      <c r="I17" s="1401">
        <v>0</v>
      </c>
      <c r="J17" s="1362">
        <f>+G17-H17</f>
        <v>1697602</v>
      </c>
      <c r="K17" s="944"/>
      <c r="O17" s="982"/>
    </row>
    <row r="18" spans="1:15" ht="42.75">
      <c r="C18" s="1360">
        <v>13</v>
      </c>
      <c r="D18" s="1363" t="s">
        <v>3290</v>
      </c>
      <c r="E18" s="1363" t="s">
        <v>3310</v>
      </c>
      <c r="F18" s="1361"/>
      <c r="G18" s="1400">
        <v>5466178.3599999994</v>
      </c>
      <c r="H18" s="1401">
        <v>0</v>
      </c>
      <c r="I18" s="1401">
        <v>0</v>
      </c>
      <c r="J18" s="1362">
        <f t="shared" si="0"/>
        <v>5466178.3599999994</v>
      </c>
      <c r="K18" s="944"/>
      <c r="O18" s="982"/>
    </row>
    <row r="19" spans="1:15" ht="42.75">
      <c r="C19" s="1360">
        <v>14</v>
      </c>
      <c r="D19" s="1363" t="s">
        <v>3291</v>
      </c>
      <c r="E19" s="1363" t="s">
        <v>3311</v>
      </c>
      <c r="F19" s="1361">
        <v>0</v>
      </c>
      <c r="G19" s="1400">
        <v>2250000</v>
      </c>
      <c r="H19" s="1401">
        <v>0</v>
      </c>
      <c r="I19" s="1401">
        <v>0</v>
      </c>
      <c r="J19" s="1362">
        <f t="shared" si="0"/>
        <v>2250000</v>
      </c>
      <c r="K19" s="944"/>
      <c r="O19" s="982"/>
    </row>
    <row r="20" spans="1:15" ht="28.5">
      <c r="C20" s="1360">
        <v>15</v>
      </c>
      <c r="D20" s="1363" t="s">
        <v>3292</v>
      </c>
      <c r="E20" s="1363" t="s">
        <v>3312</v>
      </c>
      <c r="F20" s="1361">
        <v>2630728</v>
      </c>
      <c r="G20" s="1400">
        <v>5497470</v>
      </c>
      <c r="H20" s="1401">
        <v>2630728</v>
      </c>
      <c r="I20" s="1401">
        <v>0</v>
      </c>
      <c r="J20" s="1362">
        <f>+G20-H20</f>
        <v>2866742</v>
      </c>
      <c r="K20" s="944"/>
      <c r="O20" s="982"/>
    </row>
    <row r="21" spans="1:15" ht="42.75">
      <c r="C21" s="1360">
        <v>16</v>
      </c>
      <c r="D21" s="1363" t="s">
        <v>3293</v>
      </c>
      <c r="E21" s="1363" t="s">
        <v>3313</v>
      </c>
      <c r="F21" s="1361"/>
      <c r="G21" s="1400">
        <v>22692184</v>
      </c>
      <c r="H21" s="1401">
        <v>0</v>
      </c>
      <c r="I21" s="1401">
        <v>0</v>
      </c>
      <c r="J21" s="1362">
        <f t="shared" si="0"/>
        <v>22692184</v>
      </c>
      <c r="K21" s="944"/>
      <c r="O21" s="982"/>
    </row>
    <row r="22" spans="1:15" ht="28.5">
      <c r="C22" s="1360">
        <v>17</v>
      </c>
      <c r="D22" s="1363" t="s">
        <v>3294</v>
      </c>
      <c r="E22" s="1363" t="s">
        <v>3314</v>
      </c>
      <c r="F22" s="1361">
        <v>220150</v>
      </c>
      <c r="G22" s="1400">
        <v>3723250</v>
      </c>
      <c r="H22" s="1401">
        <v>0</v>
      </c>
      <c r="I22" s="1401">
        <v>0</v>
      </c>
      <c r="J22" s="1362">
        <f t="shared" si="0"/>
        <v>3723250</v>
      </c>
      <c r="K22" s="944"/>
      <c r="O22" s="982"/>
    </row>
    <row r="23" spans="1:15" ht="28.5">
      <c r="C23" s="1360">
        <v>18</v>
      </c>
      <c r="D23" s="1363" t="s">
        <v>3295</v>
      </c>
      <c r="E23" s="1363" t="s">
        <v>3315</v>
      </c>
      <c r="F23" s="1361"/>
      <c r="G23" s="1400">
        <v>346698</v>
      </c>
      <c r="H23" s="1401">
        <v>0</v>
      </c>
      <c r="I23" s="1401">
        <v>0</v>
      </c>
      <c r="J23" s="1362">
        <f t="shared" si="0"/>
        <v>346698</v>
      </c>
      <c r="K23" s="944"/>
      <c r="O23" s="982"/>
    </row>
    <row r="24" spans="1:15" ht="169.5" customHeight="1">
      <c r="C24" s="1360">
        <v>19</v>
      </c>
      <c r="D24" s="1363" t="s">
        <v>3296</v>
      </c>
      <c r="E24" s="1363" t="s">
        <v>3378</v>
      </c>
      <c r="F24" s="1361">
        <v>677400</v>
      </c>
      <c r="G24" s="1400">
        <v>5202066</v>
      </c>
      <c r="H24" s="1401">
        <v>0</v>
      </c>
      <c r="I24" s="1401">
        <v>0</v>
      </c>
      <c r="J24" s="1362">
        <f t="shared" si="0"/>
        <v>5202066</v>
      </c>
      <c r="K24" s="944"/>
      <c r="O24" s="982"/>
    </row>
    <row r="25" spans="1:15" ht="28.5">
      <c r="C25" s="1360">
        <v>20</v>
      </c>
      <c r="D25" s="1363" t="s">
        <v>3297</v>
      </c>
      <c r="E25" s="1363" t="s">
        <v>3316</v>
      </c>
      <c r="F25" s="1361">
        <v>0</v>
      </c>
      <c r="G25" s="1400">
        <v>18977925</v>
      </c>
      <c r="H25" s="1401">
        <v>0</v>
      </c>
      <c r="I25" s="1401">
        <v>0</v>
      </c>
      <c r="J25" s="1362">
        <f t="shared" si="0"/>
        <v>18977925</v>
      </c>
      <c r="K25" s="944"/>
      <c r="O25" s="982"/>
    </row>
    <row r="26" spans="1:15" ht="28.5">
      <c r="C26" s="1360">
        <v>21</v>
      </c>
      <c r="D26" s="1363" t="s">
        <v>3297</v>
      </c>
      <c r="E26" s="1363" t="s">
        <v>3316</v>
      </c>
      <c r="F26" s="1361"/>
      <c r="G26" s="1400">
        <v>9573666</v>
      </c>
      <c r="H26" s="1401">
        <v>0</v>
      </c>
      <c r="I26" s="1401">
        <v>0</v>
      </c>
      <c r="J26" s="1362">
        <f t="shared" si="0"/>
        <v>9573666</v>
      </c>
      <c r="K26" s="944"/>
      <c r="O26" s="982"/>
    </row>
    <row r="27" spans="1:15" ht="28.5">
      <c r="C27" s="1360">
        <v>22</v>
      </c>
      <c r="D27" s="1363" t="s">
        <v>3297</v>
      </c>
      <c r="E27" s="1363" t="s">
        <v>3316</v>
      </c>
      <c r="F27" s="1361">
        <v>0</v>
      </c>
      <c r="G27" s="1400">
        <v>56755260.299999997</v>
      </c>
      <c r="H27" s="1401">
        <v>0</v>
      </c>
      <c r="I27" s="1401">
        <v>0</v>
      </c>
      <c r="J27" s="1362">
        <f t="shared" si="0"/>
        <v>56755260.299999997</v>
      </c>
      <c r="K27" s="944"/>
      <c r="O27" s="982"/>
    </row>
    <row r="28" spans="1:15">
      <c r="C28" s="1360"/>
      <c r="D28" s="1259" t="s">
        <v>47</v>
      </c>
      <c r="E28" s="1361"/>
      <c r="F28" s="1365">
        <f>SUM(F6:F27)</f>
        <v>54080459</v>
      </c>
      <c r="G28" s="1365">
        <f>SUM(G6:G27)</f>
        <v>677214320.18999994</v>
      </c>
      <c r="H28" s="1365">
        <f>SUM(H6:H27)</f>
        <v>15880271</v>
      </c>
      <c r="I28" s="1365">
        <f>SUM(I6:I8)</f>
        <v>0</v>
      </c>
      <c r="J28" s="1366">
        <f>SUM(J6:J27)</f>
        <v>661296970.18999994</v>
      </c>
      <c r="K28" s="944"/>
      <c r="O28" s="987"/>
    </row>
    <row r="29" spans="1:15">
      <c r="A29" s="982"/>
      <c r="B29" s="982"/>
      <c r="C29" s="1360"/>
      <c r="D29" s="1399"/>
      <c r="E29" s="1399"/>
      <c r="F29" s="1399"/>
      <c r="G29" s="1402"/>
      <c r="H29" s="1402"/>
      <c r="I29" s="1402"/>
      <c r="J29" s="1405"/>
    </row>
    <row r="30" spans="1:15">
      <c r="A30" s="982"/>
      <c r="B30" s="982"/>
      <c r="C30" s="1509" t="s">
        <v>2938</v>
      </c>
      <c r="D30" s="1510"/>
      <c r="E30" s="1510"/>
      <c r="F30" s="1510"/>
      <c r="G30" s="1510"/>
      <c r="H30" s="1510"/>
      <c r="I30" s="1510"/>
      <c r="J30" s="1511"/>
    </row>
    <row r="31" spans="1:15" ht="31.5">
      <c r="A31" s="982"/>
      <c r="B31" s="982"/>
      <c r="C31" s="1367" t="s">
        <v>2868</v>
      </c>
      <c r="D31" s="1368" t="s">
        <v>2912</v>
      </c>
      <c r="E31" s="1368" t="s">
        <v>2408</v>
      </c>
      <c r="F31" s="1368" t="s">
        <v>2914</v>
      </c>
      <c r="G31" s="1369" t="s">
        <v>2913</v>
      </c>
      <c r="H31" s="1369" t="s">
        <v>3207</v>
      </c>
      <c r="I31" s="1369" t="s">
        <v>3817</v>
      </c>
      <c r="J31" s="1370" t="s">
        <v>2960</v>
      </c>
    </row>
    <row r="32" spans="1:15" s="1276" customFormat="1" ht="51" customHeight="1">
      <c r="A32" s="1275"/>
      <c r="B32" s="1275"/>
      <c r="C32" s="1371">
        <v>1</v>
      </c>
      <c r="D32" s="1363" t="s">
        <v>3276</v>
      </c>
      <c r="E32" s="1363" t="s">
        <v>3277</v>
      </c>
      <c r="F32" s="1363"/>
      <c r="G32" s="1372">
        <v>318063719</v>
      </c>
      <c r="H32" s="1363" t="s">
        <v>2750</v>
      </c>
      <c r="I32" s="1363" t="s">
        <v>2750</v>
      </c>
      <c r="J32" s="1373">
        <f>+G32</f>
        <v>318063719</v>
      </c>
      <c r="K32" s="1275"/>
    </row>
    <row r="33" spans="1:11" s="1276" customFormat="1" ht="42.75">
      <c r="A33" s="1275"/>
      <c r="B33" s="1275"/>
      <c r="C33" s="1371">
        <v>2</v>
      </c>
      <c r="D33" s="1363" t="s">
        <v>3794</v>
      </c>
      <c r="E33" s="1363" t="s">
        <v>3795</v>
      </c>
      <c r="F33" s="1363"/>
      <c r="G33" s="1364">
        <v>15078407</v>
      </c>
      <c r="H33" s="1363"/>
      <c r="I33" s="1363"/>
      <c r="J33" s="1373">
        <f>+G33</f>
        <v>15078407</v>
      </c>
      <c r="K33" s="1275"/>
    </row>
    <row r="34" spans="1:11">
      <c r="A34" s="982"/>
      <c r="B34" s="982"/>
      <c r="C34" s="1360"/>
      <c r="D34" s="1403" t="s">
        <v>58</v>
      </c>
      <c r="E34" s="1404"/>
      <c r="F34" s="1399"/>
      <c r="G34" s="1365">
        <f>SUM(G32:G33)</f>
        <v>333142126</v>
      </c>
      <c r="H34" s="1365">
        <f>SUM(H32:H33)</f>
        <v>0</v>
      </c>
      <c r="I34" s="1365">
        <f>SUM(I32:I33)</f>
        <v>0</v>
      </c>
      <c r="J34" s="1366">
        <f>SUM(J32:J33)</f>
        <v>333142126</v>
      </c>
    </row>
    <row r="35" spans="1:11" ht="16.5" thickBot="1">
      <c r="A35" s="982"/>
      <c r="B35" s="982"/>
      <c r="C35" s="1506" t="s">
        <v>3815</v>
      </c>
      <c r="D35" s="1507"/>
      <c r="E35" s="1507"/>
      <c r="F35" s="1507"/>
      <c r="G35" s="1507"/>
      <c r="H35" s="1507"/>
      <c r="I35" s="1507"/>
      <c r="J35" s="1508"/>
    </row>
    <row r="36" spans="1:11">
      <c r="A36" s="982"/>
      <c r="B36" s="982"/>
      <c r="C36" s="982"/>
    </row>
    <row r="37" spans="1:11">
      <c r="A37" s="982"/>
      <c r="B37" s="982"/>
      <c r="C37" s="982"/>
    </row>
    <row r="38" spans="1:11">
      <c r="A38" s="982"/>
      <c r="B38" s="982"/>
      <c r="C38" s="982"/>
    </row>
    <row r="39" spans="1:11">
      <c r="A39" s="982"/>
      <c r="B39" s="982"/>
      <c r="C39" s="982"/>
    </row>
    <row r="40" spans="1:11">
      <c r="A40" s="982"/>
      <c r="B40" s="982"/>
      <c r="C40" s="982"/>
    </row>
    <row r="41" spans="1:11">
      <c r="A41" s="982"/>
      <c r="B41" s="982"/>
      <c r="C41" s="982"/>
    </row>
    <row r="42" spans="1:11">
      <c r="A42" s="982"/>
      <c r="B42" s="982"/>
      <c r="C42" s="982"/>
    </row>
    <row r="43" spans="1:11">
      <c r="A43" s="982"/>
      <c r="B43" s="982"/>
      <c r="C43" s="982"/>
    </row>
    <row r="44" spans="1:11">
      <c r="A44" s="982"/>
      <c r="B44" s="982"/>
      <c r="C44" s="982"/>
    </row>
    <row r="45" spans="1:11">
      <c r="A45" s="982"/>
      <c r="B45" s="982"/>
      <c r="C45" s="982"/>
    </row>
    <row r="46" spans="1:11">
      <c r="A46" s="982"/>
      <c r="B46" s="982"/>
      <c r="C46" s="982"/>
    </row>
    <row r="47" spans="1:11">
      <c r="A47" s="982"/>
      <c r="B47" s="982"/>
      <c r="C47" s="982"/>
    </row>
    <row r="48" spans="1:11">
      <c r="A48" s="982"/>
      <c r="B48" s="982"/>
      <c r="C48" s="982"/>
    </row>
    <row r="49" spans="1:6">
      <c r="A49" s="982"/>
      <c r="B49" s="982"/>
      <c r="C49" s="982"/>
    </row>
    <row r="50" spans="1:6">
      <c r="A50" s="982"/>
      <c r="B50" s="982"/>
      <c r="C50" s="982"/>
      <c r="E50" s="1265"/>
      <c r="F50" s="1265"/>
    </row>
    <row r="51" spans="1:6">
      <c r="A51" s="982"/>
      <c r="B51" s="982"/>
      <c r="C51" s="982"/>
      <c r="E51" s="1265"/>
      <c r="F51" s="1265"/>
    </row>
    <row r="52" spans="1:6">
      <c r="A52" s="982"/>
      <c r="B52" s="982"/>
      <c r="C52" s="982"/>
    </row>
    <row r="53" spans="1:6">
      <c r="A53" s="982"/>
      <c r="B53" s="982"/>
      <c r="C53" s="982"/>
    </row>
    <row r="54" spans="1:6">
      <c r="A54" s="982"/>
      <c r="B54" s="982"/>
      <c r="C54" s="982"/>
    </row>
    <row r="55" spans="1:6">
      <c r="A55" s="982"/>
      <c r="B55" s="982"/>
      <c r="C55" s="982"/>
    </row>
    <row r="56" spans="1:6">
      <c r="A56" s="982"/>
      <c r="B56" s="982"/>
      <c r="C56" s="982"/>
    </row>
    <row r="57" spans="1:6">
      <c r="A57" s="982"/>
      <c r="B57" s="982"/>
      <c r="C57" s="982"/>
    </row>
    <row r="58" spans="1:6">
      <c r="A58" s="982"/>
      <c r="B58" s="982"/>
      <c r="C58" s="982"/>
    </row>
    <row r="59" spans="1:6">
      <c r="A59" s="982"/>
      <c r="B59" s="982"/>
      <c r="C59" s="982"/>
    </row>
    <row r="60" spans="1:6">
      <c r="A60" s="982"/>
      <c r="B60" s="982"/>
      <c r="C60" s="982"/>
    </row>
    <row r="61" spans="1:6">
      <c r="A61" s="982"/>
      <c r="B61" s="982"/>
      <c r="C61" s="982"/>
    </row>
    <row r="62" spans="1:6">
      <c r="A62" s="982"/>
      <c r="B62" s="982"/>
      <c r="C62" s="982"/>
    </row>
    <row r="63" spans="1:6">
      <c r="A63" s="982"/>
      <c r="B63" s="982"/>
      <c r="C63" s="982"/>
    </row>
    <row r="64" spans="1:6">
      <c r="A64" s="982"/>
      <c r="B64" s="982"/>
      <c r="C64" s="982"/>
    </row>
    <row r="65" spans="1:3">
      <c r="A65" s="982"/>
      <c r="B65" s="982"/>
      <c r="C65" s="982"/>
    </row>
    <row r="66" spans="1:3">
      <c r="A66" s="982"/>
      <c r="B66" s="982"/>
      <c r="C66" s="982"/>
    </row>
    <row r="67" spans="1:3">
      <c r="A67" s="982"/>
      <c r="B67" s="982"/>
      <c r="C67" s="982"/>
    </row>
    <row r="68" spans="1:3">
      <c r="A68" s="982"/>
      <c r="B68" s="982"/>
      <c r="C68" s="982"/>
    </row>
    <row r="69" spans="1:3">
      <c r="A69" s="982"/>
      <c r="B69" s="982"/>
      <c r="C69" s="982"/>
    </row>
    <row r="70" spans="1:3">
      <c r="A70" s="982"/>
      <c r="B70" s="982"/>
      <c r="C70" s="982"/>
    </row>
    <row r="71" spans="1:3">
      <c r="A71" s="982"/>
      <c r="B71" s="982"/>
      <c r="C71" s="982"/>
    </row>
    <row r="72" spans="1:3">
      <c r="A72" s="982"/>
      <c r="B72" s="982"/>
      <c r="C72" s="982"/>
    </row>
    <row r="73" spans="1:3">
      <c r="A73" s="982"/>
      <c r="B73" s="982"/>
      <c r="C73" s="982"/>
    </row>
    <row r="74" spans="1:3">
      <c r="A74" s="982"/>
      <c r="B74" s="982"/>
      <c r="C74" s="982"/>
    </row>
    <row r="75" spans="1:3">
      <c r="A75" s="982"/>
      <c r="B75" s="982"/>
      <c r="C75" s="982"/>
    </row>
    <row r="76" spans="1:3">
      <c r="A76" s="982"/>
      <c r="B76" s="982"/>
      <c r="C76" s="982"/>
    </row>
    <row r="77" spans="1:3">
      <c r="A77" s="982"/>
      <c r="B77" s="982"/>
      <c r="C77" s="982"/>
    </row>
    <row r="78" spans="1:3">
      <c r="A78" s="982"/>
      <c r="B78" s="982"/>
      <c r="C78" s="982"/>
    </row>
    <row r="79" spans="1:3">
      <c r="A79" s="982"/>
      <c r="B79" s="982"/>
      <c r="C79" s="982"/>
    </row>
    <row r="80" spans="1:3">
      <c r="A80" s="982"/>
      <c r="B80" s="982"/>
      <c r="C80" s="982"/>
    </row>
    <row r="81" spans="1:3">
      <c r="A81" s="982"/>
      <c r="B81" s="982"/>
      <c r="C81" s="982"/>
    </row>
    <row r="82" spans="1:3">
      <c r="A82" s="982"/>
      <c r="B82" s="982"/>
      <c r="C82" s="982"/>
    </row>
    <row r="83" spans="1:3">
      <c r="A83" s="982"/>
      <c r="B83" s="982"/>
      <c r="C83" s="982"/>
    </row>
    <row r="84" spans="1:3">
      <c r="A84" s="982"/>
      <c r="B84" s="982"/>
      <c r="C84" s="982"/>
    </row>
    <row r="85" spans="1:3">
      <c r="A85" s="982"/>
      <c r="B85" s="982"/>
      <c r="C85" s="982"/>
    </row>
    <row r="86" spans="1:3">
      <c r="A86" s="982"/>
      <c r="B86" s="982"/>
      <c r="C86" s="982"/>
    </row>
    <row r="87" spans="1:3">
      <c r="A87" s="982"/>
      <c r="B87" s="982"/>
      <c r="C87" s="982"/>
    </row>
    <row r="88" spans="1:3">
      <c r="A88" s="982"/>
      <c r="B88" s="982"/>
      <c r="C88" s="982"/>
    </row>
    <row r="89" spans="1:3">
      <c r="A89" s="982"/>
      <c r="B89" s="982"/>
      <c r="C89" s="982"/>
    </row>
    <row r="90" spans="1:3">
      <c r="A90" s="982"/>
      <c r="B90" s="982"/>
      <c r="C90" s="982"/>
    </row>
    <row r="91" spans="1:3">
      <c r="A91" s="982"/>
      <c r="B91" s="982"/>
      <c r="C91" s="982"/>
    </row>
    <row r="92" spans="1:3">
      <c r="A92" s="982"/>
      <c r="B92" s="982"/>
      <c r="C92" s="982"/>
    </row>
    <row r="93" spans="1:3">
      <c r="A93" s="982"/>
      <c r="B93" s="982"/>
      <c r="C93" s="982"/>
    </row>
    <row r="94" spans="1:3">
      <c r="A94" s="982"/>
      <c r="B94" s="982"/>
      <c r="C94" s="982"/>
    </row>
    <row r="95" spans="1:3">
      <c r="A95" s="982"/>
      <c r="B95" s="982"/>
      <c r="C95" s="982"/>
    </row>
    <row r="96" spans="1:3">
      <c r="A96" s="982"/>
      <c r="B96" s="982"/>
      <c r="C96" s="982"/>
    </row>
    <row r="97" spans="1:3">
      <c r="A97" s="982"/>
      <c r="B97" s="982"/>
      <c r="C97" s="982"/>
    </row>
    <row r="98" spans="1:3">
      <c r="A98" s="982"/>
      <c r="B98" s="982"/>
      <c r="C98" s="982"/>
    </row>
    <row r="99" spans="1:3">
      <c r="A99" s="982"/>
      <c r="B99" s="982"/>
      <c r="C99" s="982"/>
    </row>
    <row r="100" spans="1:3">
      <c r="A100" s="982"/>
      <c r="B100" s="982"/>
      <c r="C100" s="982"/>
    </row>
    <row r="101" spans="1:3">
      <c r="A101" s="982"/>
      <c r="B101" s="982"/>
      <c r="C101" s="982"/>
    </row>
    <row r="102" spans="1:3">
      <c r="A102" s="982"/>
      <c r="B102" s="982"/>
      <c r="C102" s="982"/>
    </row>
    <row r="103" spans="1:3">
      <c r="A103" s="982"/>
      <c r="B103" s="982"/>
      <c r="C103" s="982"/>
    </row>
    <row r="104" spans="1:3">
      <c r="A104" s="982"/>
      <c r="B104" s="982"/>
      <c r="C104" s="982"/>
    </row>
    <row r="105" spans="1:3">
      <c r="A105" s="982"/>
      <c r="B105" s="982"/>
      <c r="C105" s="982"/>
    </row>
    <row r="106" spans="1:3">
      <c r="A106" s="982"/>
      <c r="B106" s="982"/>
      <c r="C106" s="982"/>
    </row>
    <row r="107" spans="1:3">
      <c r="A107" s="982"/>
      <c r="B107" s="982"/>
      <c r="C107" s="982"/>
    </row>
    <row r="108" spans="1:3">
      <c r="A108" s="982"/>
      <c r="B108" s="982"/>
      <c r="C108" s="982"/>
    </row>
    <row r="109" spans="1:3">
      <c r="A109" s="982"/>
      <c r="B109" s="982"/>
      <c r="C109" s="982"/>
    </row>
    <row r="110" spans="1:3">
      <c r="A110" s="982"/>
      <c r="B110" s="982"/>
      <c r="C110" s="982"/>
    </row>
    <row r="111" spans="1:3">
      <c r="A111" s="982"/>
      <c r="B111" s="982"/>
      <c r="C111" s="982"/>
    </row>
    <row r="112" spans="1:3">
      <c r="A112" s="982"/>
      <c r="B112" s="982"/>
      <c r="C112" s="982"/>
    </row>
    <row r="113" spans="1:3">
      <c r="A113" s="982"/>
      <c r="B113" s="982"/>
      <c r="C113" s="982"/>
    </row>
    <row r="114" spans="1:3">
      <c r="A114" s="982"/>
      <c r="B114" s="982"/>
      <c r="C114" s="982"/>
    </row>
    <row r="115" spans="1:3">
      <c r="A115" s="982"/>
      <c r="B115" s="982"/>
      <c r="C115" s="982"/>
    </row>
    <row r="116" spans="1:3">
      <c r="A116" s="982"/>
      <c r="B116" s="982"/>
      <c r="C116" s="982"/>
    </row>
    <row r="117" spans="1:3">
      <c r="A117" s="982"/>
      <c r="B117" s="982"/>
      <c r="C117" s="982"/>
    </row>
    <row r="118" spans="1:3">
      <c r="A118" s="982"/>
      <c r="B118" s="982"/>
      <c r="C118" s="982"/>
    </row>
    <row r="119" spans="1:3">
      <c r="A119" s="982"/>
      <c r="B119" s="982"/>
      <c r="C119" s="982"/>
    </row>
    <row r="120" spans="1:3">
      <c r="A120" s="982"/>
      <c r="B120" s="982"/>
      <c r="C120" s="982"/>
    </row>
    <row r="121" spans="1:3">
      <c r="A121" s="982"/>
      <c r="B121" s="982"/>
      <c r="C121" s="982"/>
    </row>
    <row r="122" spans="1:3">
      <c r="A122" s="982"/>
      <c r="B122" s="982"/>
      <c r="C122" s="982"/>
    </row>
    <row r="123" spans="1:3">
      <c r="A123" s="982"/>
      <c r="B123" s="982"/>
      <c r="C123" s="982"/>
    </row>
    <row r="124" spans="1:3">
      <c r="A124" s="982"/>
      <c r="B124" s="982"/>
      <c r="C124" s="982"/>
    </row>
    <row r="125" spans="1:3">
      <c r="A125" s="982"/>
      <c r="B125" s="982"/>
      <c r="C125" s="982"/>
    </row>
    <row r="126" spans="1:3">
      <c r="A126" s="982"/>
      <c r="B126" s="982"/>
      <c r="C126" s="982"/>
    </row>
    <row r="127" spans="1:3">
      <c r="A127" s="982"/>
      <c r="B127" s="982"/>
      <c r="C127" s="982"/>
    </row>
    <row r="128" spans="1:3">
      <c r="A128" s="982"/>
      <c r="B128" s="982"/>
      <c r="C128" s="982"/>
    </row>
    <row r="129" spans="1:3">
      <c r="A129" s="982"/>
      <c r="B129" s="982"/>
      <c r="C129" s="982"/>
    </row>
    <row r="130" spans="1:3">
      <c r="A130" s="982"/>
      <c r="B130" s="982"/>
      <c r="C130" s="982"/>
    </row>
    <row r="131" spans="1:3">
      <c r="A131" s="982"/>
      <c r="B131" s="982"/>
      <c r="C131" s="982"/>
    </row>
    <row r="132" spans="1:3">
      <c r="A132" s="982"/>
      <c r="B132" s="982"/>
      <c r="C132" s="982"/>
    </row>
    <row r="133" spans="1:3">
      <c r="A133" s="982"/>
      <c r="B133" s="982"/>
      <c r="C133" s="982"/>
    </row>
    <row r="134" spans="1:3">
      <c r="A134" s="982"/>
      <c r="B134" s="982"/>
      <c r="C134" s="982"/>
    </row>
    <row r="135" spans="1:3">
      <c r="A135" s="982"/>
      <c r="B135" s="982"/>
      <c r="C135" s="982"/>
    </row>
    <row r="136" spans="1:3">
      <c r="A136" s="982"/>
      <c r="B136" s="982"/>
      <c r="C136" s="982"/>
    </row>
    <row r="137" spans="1:3">
      <c r="A137" s="982"/>
      <c r="B137" s="982"/>
      <c r="C137" s="982"/>
    </row>
    <row r="138" spans="1:3">
      <c r="A138" s="982"/>
      <c r="B138" s="982"/>
      <c r="C138" s="982"/>
    </row>
    <row r="139" spans="1:3">
      <c r="A139" s="982"/>
      <c r="B139" s="982"/>
      <c r="C139" s="982"/>
    </row>
    <row r="140" spans="1:3">
      <c r="A140" s="982"/>
      <c r="B140" s="982"/>
      <c r="C140" s="982"/>
    </row>
    <row r="141" spans="1:3">
      <c r="A141" s="982"/>
      <c r="B141" s="982"/>
      <c r="C141" s="982"/>
    </row>
    <row r="142" spans="1:3">
      <c r="A142" s="982"/>
      <c r="B142" s="982"/>
      <c r="C142" s="982"/>
    </row>
    <row r="143" spans="1:3">
      <c r="A143" s="982"/>
      <c r="B143" s="982"/>
      <c r="C143" s="982"/>
    </row>
    <row r="144" spans="1:3">
      <c r="A144" s="982"/>
      <c r="B144" s="982"/>
      <c r="C144" s="982"/>
    </row>
    <row r="145" spans="1:3">
      <c r="A145" s="982"/>
      <c r="B145" s="982"/>
      <c r="C145" s="982"/>
    </row>
    <row r="146" spans="1:3">
      <c r="A146" s="982"/>
      <c r="B146" s="982"/>
      <c r="C146" s="982"/>
    </row>
    <row r="147" spans="1:3">
      <c r="A147" s="982"/>
      <c r="B147" s="982"/>
      <c r="C147" s="982"/>
    </row>
    <row r="148" spans="1:3">
      <c r="A148" s="982"/>
      <c r="B148" s="982"/>
      <c r="C148" s="982"/>
    </row>
    <row r="149" spans="1:3">
      <c r="A149" s="982"/>
      <c r="B149" s="982"/>
      <c r="C149" s="982"/>
    </row>
    <row r="150" spans="1:3">
      <c r="A150" s="982"/>
      <c r="B150" s="982"/>
      <c r="C150" s="982"/>
    </row>
    <row r="151" spans="1:3">
      <c r="A151" s="982"/>
      <c r="B151" s="982"/>
      <c r="C151" s="982"/>
    </row>
    <row r="152" spans="1:3">
      <c r="A152" s="982"/>
      <c r="B152" s="982"/>
      <c r="C152" s="982"/>
    </row>
    <row r="153" spans="1:3">
      <c r="A153" s="982"/>
      <c r="B153" s="982"/>
      <c r="C153" s="982"/>
    </row>
    <row r="154" spans="1:3">
      <c r="A154" s="982"/>
      <c r="B154" s="982"/>
      <c r="C154" s="982"/>
    </row>
    <row r="155" spans="1:3">
      <c r="A155" s="982"/>
      <c r="B155" s="982"/>
      <c r="C155" s="982"/>
    </row>
    <row r="156" spans="1:3">
      <c r="A156" s="982"/>
      <c r="B156" s="982"/>
      <c r="C156" s="982"/>
    </row>
    <row r="157" spans="1:3">
      <c r="A157" s="982"/>
      <c r="B157" s="982"/>
      <c r="C157" s="982"/>
    </row>
    <row r="158" spans="1:3">
      <c r="A158" s="982"/>
      <c r="B158" s="982"/>
      <c r="C158" s="982"/>
    </row>
    <row r="159" spans="1:3">
      <c r="A159" s="982"/>
      <c r="B159" s="982"/>
      <c r="C159" s="982"/>
    </row>
    <row r="160" spans="1:3">
      <c r="A160" s="982"/>
      <c r="B160" s="982"/>
      <c r="C160" s="982"/>
    </row>
    <row r="161" spans="1:3">
      <c r="A161" s="982"/>
      <c r="B161" s="982"/>
      <c r="C161" s="982"/>
    </row>
    <row r="162" spans="1:3">
      <c r="A162" s="982"/>
      <c r="B162" s="982"/>
      <c r="C162" s="982"/>
    </row>
    <row r="163" spans="1:3">
      <c r="A163" s="982"/>
      <c r="B163" s="982"/>
      <c r="C163" s="982"/>
    </row>
    <row r="164" spans="1:3">
      <c r="A164" s="982"/>
      <c r="B164" s="982"/>
      <c r="C164" s="982"/>
    </row>
    <row r="165" spans="1:3">
      <c r="A165" s="982"/>
      <c r="B165" s="982"/>
      <c r="C165" s="982"/>
    </row>
    <row r="166" spans="1:3">
      <c r="A166" s="982"/>
      <c r="B166" s="982"/>
      <c r="C166" s="982"/>
    </row>
    <row r="167" spans="1:3">
      <c r="A167" s="982"/>
      <c r="B167" s="982"/>
      <c r="C167" s="982"/>
    </row>
    <row r="168" spans="1:3">
      <c r="A168" s="982"/>
      <c r="B168" s="982"/>
      <c r="C168" s="982"/>
    </row>
    <row r="169" spans="1:3">
      <c r="A169" s="982"/>
      <c r="B169" s="982"/>
      <c r="C169" s="982"/>
    </row>
    <row r="170" spans="1:3">
      <c r="A170" s="982"/>
      <c r="B170" s="982"/>
      <c r="C170" s="982"/>
    </row>
    <row r="171" spans="1:3">
      <c r="A171" s="982"/>
      <c r="B171" s="982"/>
      <c r="C171" s="982"/>
    </row>
    <row r="172" spans="1:3">
      <c r="A172" s="982"/>
      <c r="B172" s="982"/>
      <c r="C172" s="982"/>
    </row>
    <row r="173" spans="1:3">
      <c r="A173" s="982"/>
      <c r="B173" s="982"/>
      <c r="C173" s="982"/>
    </row>
    <row r="174" spans="1:3">
      <c r="A174" s="982"/>
      <c r="B174" s="982"/>
      <c r="C174" s="982"/>
    </row>
    <row r="175" spans="1:3">
      <c r="A175" s="982"/>
      <c r="B175" s="982"/>
      <c r="C175" s="982"/>
    </row>
    <row r="176" spans="1:3">
      <c r="A176" s="982"/>
      <c r="B176" s="982"/>
      <c r="C176" s="982"/>
    </row>
    <row r="177" spans="1:3">
      <c r="A177" s="982"/>
      <c r="B177" s="982"/>
      <c r="C177" s="982"/>
    </row>
    <row r="178" spans="1:3">
      <c r="A178" s="982"/>
      <c r="B178" s="982"/>
      <c r="C178" s="982"/>
    </row>
    <row r="179" spans="1:3">
      <c r="A179" s="982"/>
      <c r="B179" s="982"/>
      <c r="C179" s="982"/>
    </row>
    <row r="180" spans="1:3">
      <c r="A180" s="982"/>
      <c r="B180" s="982"/>
      <c r="C180" s="982"/>
    </row>
    <row r="181" spans="1:3">
      <c r="A181" s="982"/>
      <c r="B181" s="982"/>
      <c r="C181" s="982"/>
    </row>
    <row r="182" spans="1:3">
      <c r="A182" s="982"/>
      <c r="B182" s="982"/>
      <c r="C182" s="982"/>
    </row>
    <row r="183" spans="1:3">
      <c r="A183" s="982"/>
      <c r="B183" s="982"/>
      <c r="C183" s="982"/>
    </row>
    <row r="184" spans="1:3">
      <c r="A184" s="982"/>
      <c r="B184" s="982"/>
      <c r="C184" s="982"/>
    </row>
    <row r="185" spans="1:3">
      <c r="A185" s="982"/>
      <c r="B185" s="982"/>
      <c r="C185" s="982"/>
    </row>
    <row r="186" spans="1:3">
      <c r="A186" s="982"/>
      <c r="B186" s="982"/>
      <c r="C186" s="982"/>
    </row>
    <row r="187" spans="1:3">
      <c r="A187" s="982"/>
      <c r="B187" s="982"/>
      <c r="C187" s="982"/>
    </row>
    <row r="188" spans="1:3">
      <c r="A188" s="982"/>
      <c r="B188" s="982"/>
      <c r="C188" s="982"/>
    </row>
    <row r="189" spans="1:3">
      <c r="A189" s="982"/>
      <c r="B189" s="982"/>
      <c r="C189" s="982"/>
    </row>
    <row r="190" spans="1:3">
      <c r="A190" s="982"/>
      <c r="B190" s="982"/>
      <c r="C190" s="982"/>
    </row>
    <row r="191" spans="1:3">
      <c r="A191" s="982"/>
      <c r="B191" s="982"/>
      <c r="C191" s="982"/>
    </row>
    <row r="192" spans="1:3">
      <c r="A192" s="982"/>
      <c r="B192" s="982"/>
      <c r="C192" s="982"/>
    </row>
    <row r="193" spans="1:3">
      <c r="A193" s="982"/>
      <c r="B193" s="982"/>
      <c r="C193" s="982"/>
    </row>
    <row r="194" spans="1:3">
      <c r="A194" s="982"/>
      <c r="B194" s="982"/>
      <c r="C194" s="982"/>
    </row>
    <row r="195" spans="1:3">
      <c r="A195" s="982"/>
      <c r="B195" s="982"/>
      <c r="C195" s="982"/>
    </row>
    <row r="196" spans="1:3">
      <c r="A196" s="982"/>
      <c r="B196" s="982"/>
      <c r="C196" s="982"/>
    </row>
    <row r="197" spans="1:3">
      <c r="A197" s="982"/>
      <c r="B197" s="982"/>
      <c r="C197" s="982"/>
    </row>
    <row r="198" spans="1:3">
      <c r="A198" s="982"/>
      <c r="B198" s="982"/>
      <c r="C198" s="982"/>
    </row>
    <row r="199" spans="1:3">
      <c r="A199" s="982"/>
      <c r="B199" s="982"/>
      <c r="C199" s="982"/>
    </row>
    <row r="200" spans="1:3">
      <c r="A200" s="982"/>
      <c r="B200" s="982"/>
      <c r="C200" s="982"/>
    </row>
    <row r="201" spans="1:3">
      <c r="A201" s="982"/>
      <c r="B201" s="982"/>
      <c r="C201" s="982"/>
    </row>
    <row r="202" spans="1:3">
      <c r="A202" s="982"/>
      <c r="B202" s="982"/>
      <c r="C202" s="982"/>
    </row>
    <row r="203" spans="1:3">
      <c r="A203" s="982"/>
      <c r="B203" s="982"/>
      <c r="C203" s="982"/>
    </row>
    <row r="204" spans="1:3">
      <c r="A204" s="982"/>
      <c r="B204" s="982"/>
      <c r="C204" s="982"/>
    </row>
    <row r="205" spans="1:3">
      <c r="A205" s="982"/>
      <c r="B205" s="982"/>
      <c r="C205" s="982"/>
    </row>
    <row r="206" spans="1:3">
      <c r="A206" s="982"/>
      <c r="B206" s="982"/>
      <c r="C206" s="982"/>
    </row>
    <row r="207" spans="1:3">
      <c r="A207" s="982"/>
      <c r="B207" s="982"/>
      <c r="C207" s="982"/>
    </row>
    <row r="208" spans="1:3">
      <c r="A208" s="982"/>
      <c r="B208" s="982"/>
      <c r="C208" s="982"/>
    </row>
    <row r="209" spans="1:3">
      <c r="A209" s="982"/>
      <c r="B209" s="982"/>
      <c r="C209" s="982"/>
    </row>
    <row r="210" spans="1:3">
      <c r="A210" s="982"/>
      <c r="B210" s="982"/>
      <c r="C210" s="982"/>
    </row>
    <row r="211" spans="1:3">
      <c r="A211" s="982"/>
      <c r="B211" s="982"/>
      <c r="C211" s="982"/>
    </row>
    <row r="212" spans="1:3">
      <c r="A212" s="982"/>
      <c r="B212" s="982"/>
      <c r="C212" s="982"/>
    </row>
    <row r="213" spans="1:3">
      <c r="A213" s="982"/>
      <c r="B213" s="982"/>
      <c r="C213" s="982"/>
    </row>
    <row r="214" spans="1:3">
      <c r="A214" s="982"/>
      <c r="B214" s="982"/>
      <c r="C214" s="982"/>
    </row>
    <row r="215" spans="1:3">
      <c r="A215" s="982"/>
      <c r="B215" s="982"/>
      <c r="C215" s="982"/>
    </row>
    <row r="216" spans="1:3">
      <c r="A216" s="982"/>
      <c r="B216" s="982"/>
      <c r="C216" s="982"/>
    </row>
    <row r="217" spans="1:3">
      <c r="A217" s="982"/>
      <c r="B217" s="982"/>
      <c r="C217" s="982"/>
    </row>
    <row r="218" spans="1:3">
      <c r="A218" s="982"/>
      <c r="B218" s="982"/>
      <c r="C218" s="982"/>
    </row>
    <row r="219" spans="1:3">
      <c r="A219" s="982"/>
      <c r="B219" s="982"/>
      <c r="C219" s="982"/>
    </row>
    <row r="220" spans="1:3">
      <c r="A220" s="982"/>
      <c r="B220" s="982"/>
      <c r="C220" s="982"/>
    </row>
    <row r="221" spans="1:3">
      <c r="A221" s="982"/>
      <c r="B221" s="982"/>
      <c r="C221" s="982"/>
    </row>
    <row r="222" spans="1:3">
      <c r="A222" s="982"/>
      <c r="B222" s="982"/>
      <c r="C222" s="982"/>
    </row>
    <row r="223" spans="1:3">
      <c r="A223" s="982"/>
      <c r="B223" s="982"/>
      <c r="C223" s="982"/>
    </row>
    <row r="224" spans="1:3">
      <c r="A224" s="982"/>
      <c r="B224" s="982"/>
      <c r="C224" s="982"/>
    </row>
    <row r="225" spans="1:3">
      <c r="A225" s="982"/>
      <c r="B225" s="982"/>
      <c r="C225" s="982"/>
    </row>
    <row r="226" spans="1:3">
      <c r="A226" s="982"/>
      <c r="B226" s="982"/>
      <c r="C226" s="982"/>
    </row>
    <row r="227" spans="1:3">
      <c r="A227" s="982"/>
      <c r="B227" s="982"/>
      <c r="C227" s="982"/>
    </row>
    <row r="228" spans="1:3">
      <c r="A228" s="982"/>
      <c r="B228" s="982"/>
      <c r="C228" s="982"/>
    </row>
    <row r="229" spans="1:3">
      <c r="A229" s="982"/>
      <c r="B229" s="982"/>
      <c r="C229" s="982"/>
    </row>
    <row r="230" spans="1:3">
      <c r="A230" s="982"/>
      <c r="B230" s="982"/>
      <c r="C230" s="982"/>
    </row>
    <row r="231" spans="1:3">
      <c r="A231" s="982"/>
      <c r="B231" s="982"/>
      <c r="C231" s="982"/>
    </row>
    <row r="232" spans="1:3">
      <c r="A232" s="982"/>
      <c r="B232" s="982"/>
      <c r="C232" s="982"/>
    </row>
    <row r="233" spans="1:3">
      <c r="A233" s="982"/>
      <c r="B233" s="982"/>
      <c r="C233" s="982"/>
    </row>
    <row r="234" spans="1:3">
      <c r="A234" s="982"/>
      <c r="B234" s="982"/>
      <c r="C234" s="982"/>
    </row>
    <row r="235" spans="1:3">
      <c r="A235" s="982"/>
      <c r="B235" s="982"/>
      <c r="C235" s="982"/>
    </row>
    <row r="236" spans="1:3">
      <c r="A236" s="982"/>
      <c r="B236" s="982"/>
      <c r="C236" s="982"/>
    </row>
    <row r="237" spans="1:3">
      <c r="A237" s="982"/>
      <c r="B237" s="982"/>
      <c r="C237" s="982"/>
    </row>
    <row r="238" spans="1:3">
      <c r="A238" s="982"/>
      <c r="B238" s="982"/>
      <c r="C238" s="982"/>
    </row>
    <row r="239" spans="1:3">
      <c r="A239" s="982"/>
      <c r="B239" s="982"/>
      <c r="C239" s="982"/>
    </row>
    <row r="240" spans="1:3">
      <c r="A240" s="982"/>
      <c r="B240" s="982"/>
      <c r="C240" s="982"/>
    </row>
    <row r="241" spans="1:3">
      <c r="A241" s="982"/>
      <c r="B241" s="982"/>
      <c r="C241" s="982"/>
    </row>
    <row r="242" spans="1:3">
      <c r="A242" s="982"/>
      <c r="B242" s="982"/>
      <c r="C242" s="982"/>
    </row>
    <row r="243" spans="1:3">
      <c r="A243" s="982"/>
      <c r="B243" s="982"/>
      <c r="C243" s="982"/>
    </row>
    <row r="244" spans="1:3">
      <c r="A244" s="982"/>
      <c r="B244" s="982"/>
      <c r="C244" s="982"/>
    </row>
    <row r="245" spans="1:3">
      <c r="A245" s="982"/>
      <c r="B245" s="982"/>
      <c r="C245" s="982"/>
    </row>
    <row r="246" spans="1:3">
      <c r="A246" s="982"/>
      <c r="B246" s="982"/>
      <c r="C246" s="982"/>
    </row>
    <row r="247" spans="1:3">
      <c r="A247" s="982"/>
      <c r="B247" s="982"/>
      <c r="C247" s="982"/>
    </row>
    <row r="248" spans="1:3">
      <c r="A248" s="982"/>
      <c r="B248" s="982"/>
      <c r="C248" s="982"/>
    </row>
    <row r="249" spans="1:3">
      <c r="A249" s="982"/>
      <c r="B249" s="982"/>
      <c r="C249" s="982"/>
    </row>
    <row r="250" spans="1:3">
      <c r="A250" s="982"/>
      <c r="B250" s="982"/>
      <c r="C250" s="982"/>
    </row>
    <row r="251" spans="1:3">
      <c r="A251" s="982"/>
      <c r="B251" s="982"/>
      <c r="C251" s="982"/>
    </row>
    <row r="252" spans="1:3">
      <c r="A252" s="982"/>
      <c r="B252" s="982"/>
      <c r="C252" s="982"/>
    </row>
    <row r="253" spans="1:3">
      <c r="A253" s="982"/>
      <c r="B253" s="982"/>
      <c r="C253" s="982"/>
    </row>
    <row r="254" spans="1:3">
      <c r="A254" s="982"/>
      <c r="B254" s="982"/>
      <c r="C254" s="982"/>
    </row>
    <row r="255" spans="1:3">
      <c r="A255" s="982"/>
      <c r="B255" s="982"/>
      <c r="C255" s="982"/>
    </row>
    <row r="256" spans="1:3">
      <c r="A256" s="982"/>
      <c r="B256" s="982"/>
      <c r="C256" s="982"/>
    </row>
    <row r="257" spans="1:3">
      <c r="A257" s="982"/>
      <c r="B257" s="982"/>
      <c r="C257" s="982"/>
    </row>
    <row r="258" spans="1:3">
      <c r="A258" s="982"/>
      <c r="B258" s="982"/>
      <c r="C258" s="982"/>
    </row>
    <row r="259" spans="1:3">
      <c r="A259" s="982"/>
      <c r="B259" s="982"/>
      <c r="C259" s="982"/>
    </row>
    <row r="260" spans="1:3">
      <c r="A260" s="982"/>
      <c r="B260" s="982"/>
      <c r="C260" s="982"/>
    </row>
    <row r="261" spans="1:3">
      <c r="A261" s="982"/>
      <c r="B261" s="982"/>
      <c r="C261" s="982"/>
    </row>
    <row r="262" spans="1:3">
      <c r="A262" s="982"/>
      <c r="B262" s="982"/>
      <c r="C262" s="982"/>
    </row>
    <row r="263" spans="1:3">
      <c r="A263" s="982"/>
      <c r="B263" s="982"/>
      <c r="C263" s="982"/>
    </row>
    <row r="264" spans="1:3">
      <c r="A264" s="982"/>
      <c r="B264" s="982"/>
      <c r="C264" s="982"/>
    </row>
    <row r="265" spans="1:3">
      <c r="A265" s="982"/>
      <c r="B265" s="982"/>
      <c r="C265" s="982"/>
    </row>
    <row r="266" spans="1:3">
      <c r="A266" s="982"/>
      <c r="B266" s="982"/>
      <c r="C266" s="982"/>
    </row>
    <row r="267" spans="1:3">
      <c r="A267" s="982"/>
      <c r="B267" s="982"/>
      <c r="C267" s="982"/>
    </row>
    <row r="268" spans="1:3">
      <c r="A268" s="982"/>
      <c r="B268" s="982"/>
      <c r="C268" s="982"/>
    </row>
    <row r="269" spans="1:3">
      <c r="A269" s="982"/>
      <c r="B269" s="982"/>
      <c r="C269" s="982"/>
    </row>
    <row r="270" spans="1:3">
      <c r="A270" s="982"/>
      <c r="B270" s="982"/>
      <c r="C270" s="982"/>
    </row>
    <row r="271" spans="1:3">
      <c r="A271" s="982"/>
      <c r="B271" s="982"/>
      <c r="C271" s="982"/>
    </row>
    <row r="272" spans="1:3">
      <c r="A272" s="982"/>
      <c r="B272" s="982"/>
      <c r="C272" s="982"/>
    </row>
    <row r="273" spans="1:3">
      <c r="A273" s="982"/>
      <c r="B273" s="982"/>
      <c r="C273" s="982"/>
    </row>
    <row r="274" spans="1:3">
      <c r="A274" s="982"/>
      <c r="B274" s="982"/>
      <c r="C274" s="982"/>
    </row>
    <row r="275" spans="1:3">
      <c r="A275" s="982"/>
      <c r="B275" s="982"/>
      <c r="C275" s="982"/>
    </row>
    <row r="276" spans="1:3">
      <c r="A276" s="982"/>
      <c r="B276" s="982"/>
      <c r="C276" s="982"/>
    </row>
    <row r="277" spans="1:3">
      <c r="A277" s="982"/>
      <c r="B277" s="982"/>
      <c r="C277" s="982"/>
    </row>
    <row r="278" spans="1:3">
      <c r="A278" s="982"/>
      <c r="B278" s="982"/>
      <c r="C278" s="982"/>
    </row>
    <row r="279" spans="1:3">
      <c r="A279" s="982"/>
      <c r="B279" s="982"/>
      <c r="C279" s="982"/>
    </row>
    <row r="280" spans="1:3">
      <c r="A280" s="982"/>
      <c r="B280" s="982"/>
      <c r="C280" s="982"/>
    </row>
    <row r="281" spans="1:3">
      <c r="A281" s="982"/>
      <c r="B281" s="982"/>
      <c r="C281" s="982"/>
    </row>
    <row r="282" spans="1:3">
      <c r="A282" s="982"/>
      <c r="B282" s="982"/>
      <c r="C282" s="982"/>
    </row>
    <row r="283" spans="1:3">
      <c r="A283" s="982"/>
      <c r="B283" s="982"/>
      <c r="C283" s="982"/>
    </row>
    <row r="284" spans="1:3">
      <c r="A284" s="982"/>
      <c r="B284" s="982"/>
      <c r="C284" s="982"/>
    </row>
    <row r="285" spans="1:3">
      <c r="A285" s="982"/>
      <c r="B285" s="982"/>
      <c r="C285" s="982"/>
    </row>
    <row r="286" spans="1:3">
      <c r="A286" s="982"/>
      <c r="B286" s="982"/>
      <c r="C286" s="982"/>
    </row>
    <row r="287" spans="1:3">
      <c r="A287" s="982"/>
      <c r="B287" s="982"/>
      <c r="C287" s="982"/>
    </row>
    <row r="288" spans="1:3">
      <c r="A288" s="982"/>
      <c r="B288" s="982"/>
      <c r="C288" s="982"/>
    </row>
    <row r="289" spans="1:3">
      <c r="A289" s="982"/>
      <c r="B289" s="982"/>
      <c r="C289" s="982"/>
    </row>
    <row r="290" spans="1:3">
      <c r="A290" s="982"/>
      <c r="B290" s="982"/>
      <c r="C290" s="982"/>
    </row>
    <row r="291" spans="1:3">
      <c r="A291" s="982"/>
      <c r="B291" s="982"/>
      <c r="C291" s="982"/>
    </row>
    <row r="292" spans="1:3">
      <c r="A292" s="982"/>
      <c r="B292" s="982"/>
      <c r="C292" s="982"/>
    </row>
    <row r="293" spans="1:3">
      <c r="A293" s="982"/>
      <c r="B293" s="982"/>
      <c r="C293" s="982"/>
    </row>
    <row r="294" spans="1:3">
      <c r="A294" s="982"/>
      <c r="B294" s="982"/>
      <c r="C294" s="982"/>
    </row>
    <row r="295" spans="1:3">
      <c r="A295" s="982"/>
      <c r="B295" s="982"/>
      <c r="C295" s="982"/>
    </row>
    <row r="296" spans="1:3">
      <c r="A296" s="982"/>
      <c r="B296" s="982"/>
      <c r="C296" s="982"/>
    </row>
    <row r="297" spans="1:3">
      <c r="A297" s="982"/>
      <c r="B297" s="982"/>
      <c r="C297" s="982"/>
    </row>
    <row r="298" spans="1:3">
      <c r="A298" s="982"/>
      <c r="B298" s="982"/>
      <c r="C298" s="982"/>
    </row>
    <row r="299" spans="1:3">
      <c r="A299" s="982"/>
      <c r="B299" s="982"/>
      <c r="C299" s="982"/>
    </row>
    <row r="300" spans="1:3">
      <c r="A300" s="982"/>
      <c r="B300" s="982"/>
      <c r="C300" s="982"/>
    </row>
    <row r="301" spans="1:3">
      <c r="A301" s="982"/>
      <c r="B301" s="982"/>
      <c r="C301" s="982"/>
    </row>
    <row r="302" spans="1:3">
      <c r="A302" s="982"/>
      <c r="B302" s="982"/>
      <c r="C302" s="982"/>
    </row>
    <row r="303" spans="1:3">
      <c r="A303" s="982"/>
      <c r="B303" s="982"/>
      <c r="C303" s="982"/>
    </row>
    <row r="304" spans="1:3">
      <c r="A304" s="982"/>
      <c r="B304" s="982"/>
      <c r="C304" s="982"/>
    </row>
    <row r="305" spans="1:3">
      <c r="A305" s="982"/>
      <c r="B305" s="982"/>
      <c r="C305" s="982"/>
    </row>
    <row r="306" spans="1:3">
      <c r="A306" s="982"/>
      <c r="B306" s="982"/>
      <c r="C306" s="982"/>
    </row>
    <row r="307" spans="1:3">
      <c r="A307" s="982"/>
      <c r="B307" s="982"/>
      <c r="C307" s="982"/>
    </row>
    <row r="308" spans="1:3">
      <c r="A308" s="982"/>
      <c r="B308" s="982"/>
      <c r="C308" s="982"/>
    </row>
    <row r="309" spans="1:3">
      <c r="A309" s="982"/>
      <c r="B309" s="982"/>
      <c r="C309" s="982"/>
    </row>
    <row r="310" spans="1:3">
      <c r="A310" s="982"/>
      <c r="B310" s="982"/>
      <c r="C310" s="982"/>
    </row>
    <row r="311" spans="1:3">
      <c r="A311" s="982"/>
      <c r="B311" s="982"/>
      <c r="C311" s="982"/>
    </row>
    <row r="312" spans="1:3">
      <c r="A312" s="982"/>
      <c r="B312" s="982"/>
      <c r="C312" s="982"/>
    </row>
    <row r="313" spans="1:3">
      <c r="A313" s="982"/>
      <c r="B313" s="982"/>
      <c r="C313" s="982"/>
    </row>
    <row r="314" spans="1:3">
      <c r="A314" s="982"/>
      <c r="B314" s="982"/>
      <c r="C314" s="982"/>
    </row>
    <row r="315" spans="1:3">
      <c r="A315" s="982"/>
      <c r="B315" s="982"/>
      <c r="C315" s="982"/>
    </row>
    <row r="316" spans="1:3">
      <c r="A316" s="982"/>
      <c r="B316" s="982"/>
      <c r="C316" s="982"/>
    </row>
    <row r="317" spans="1:3">
      <c r="A317" s="982"/>
      <c r="B317" s="982"/>
      <c r="C317" s="982"/>
    </row>
    <row r="318" spans="1:3">
      <c r="A318" s="982"/>
      <c r="B318" s="982"/>
      <c r="C318" s="982"/>
    </row>
    <row r="319" spans="1:3">
      <c r="A319" s="982"/>
      <c r="B319" s="982"/>
      <c r="C319" s="982"/>
    </row>
    <row r="320" spans="1:3">
      <c r="A320" s="982"/>
      <c r="B320" s="982"/>
      <c r="C320" s="982"/>
    </row>
    <row r="321" spans="1:3">
      <c r="A321" s="982"/>
      <c r="B321" s="982"/>
      <c r="C321" s="982"/>
    </row>
    <row r="322" spans="1:3">
      <c r="A322" s="982"/>
      <c r="B322" s="982"/>
      <c r="C322" s="982"/>
    </row>
    <row r="323" spans="1:3">
      <c r="A323" s="982"/>
      <c r="B323" s="982"/>
      <c r="C323" s="982"/>
    </row>
    <row r="324" spans="1:3">
      <c r="A324" s="982"/>
      <c r="B324" s="982"/>
      <c r="C324" s="982"/>
    </row>
    <row r="325" spans="1:3">
      <c r="A325" s="982"/>
      <c r="B325" s="982"/>
      <c r="C325" s="982"/>
    </row>
    <row r="326" spans="1:3">
      <c r="A326" s="982"/>
      <c r="B326" s="982"/>
      <c r="C326" s="982"/>
    </row>
    <row r="327" spans="1:3">
      <c r="A327" s="982"/>
      <c r="B327" s="982"/>
      <c r="C327" s="982"/>
    </row>
    <row r="328" spans="1:3">
      <c r="A328" s="982"/>
      <c r="B328" s="982"/>
      <c r="C328" s="982"/>
    </row>
    <row r="329" spans="1:3">
      <c r="A329" s="982"/>
      <c r="B329" s="982"/>
      <c r="C329" s="982"/>
    </row>
    <row r="330" spans="1:3">
      <c r="A330" s="982"/>
      <c r="B330" s="982"/>
      <c r="C330" s="982"/>
    </row>
    <row r="331" spans="1:3">
      <c r="A331" s="982"/>
      <c r="B331" s="982"/>
      <c r="C331" s="982"/>
    </row>
    <row r="332" spans="1:3">
      <c r="A332" s="982"/>
      <c r="B332" s="982"/>
      <c r="C332" s="982"/>
    </row>
    <row r="333" spans="1:3">
      <c r="A333" s="982"/>
      <c r="B333" s="982"/>
      <c r="C333" s="982"/>
    </row>
    <row r="334" spans="1:3">
      <c r="A334" s="982"/>
      <c r="B334" s="982"/>
      <c r="C334" s="982"/>
    </row>
    <row r="335" spans="1:3">
      <c r="A335" s="982"/>
      <c r="B335" s="982"/>
      <c r="C335" s="982"/>
    </row>
    <row r="336" spans="1:3">
      <c r="A336" s="982"/>
      <c r="B336" s="982"/>
      <c r="C336" s="982"/>
    </row>
    <row r="337" spans="1:3">
      <c r="A337" s="982"/>
      <c r="B337" s="982"/>
      <c r="C337" s="982"/>
    </row>
    <row r="338" spans="1:3">
      <c r="A338" s="982"/>
      <c r="B338" s="982"/>
      <c r="C338" s="982"/>
    </row>
    <row r="339" spans="1:3">
      <c r="A339" s="982"/>
      <c r="B339" s="982"/>
      <c r="C339" s="982"/>
    </row>
    <row r="340" spans="1:3">
      <c r="A340" s="982"/>
      <c r="B340" s="982"/>
      <c r="C340" s="982"/>
    </row>
    <row r="341" spans="1:3">
      <c r="A341" s="982"/>
      <c r="B341" s="982"/>
      <c r="C341" s="982"/>
    </row>
    <row r="342" spans="1:3">
      <c r="A342" s="982"/>
      <c r="B342" s="982"/>
      <c r="C342" s="982"/>
    </row>
    <row r="343" spans="1:3">
      <c r="A343" s="982"/>
      <c r="B343" s="982"/>
      <c r="C343" s="982"/>
    </row>
    <row r="344" spans="1:3">
      <c r="A344" s="982"/>
      <c r="B344" s="982"/>
      <c r="C344" s="982"/>
    </row>
    <row r="345" spans="1:3">
      <c r="A345" s="982"/>
      <c r="B345" s="982"/>
      <c r="C345" s="982"/>
    </row>
    <row r="346" spans="1:3">
      <c r="A346" s="982"/>
      <c r="B346" s="982"/>
      <c r="C346" s="982"/>
    </row>
    <row r="347" spans="1:3">
      <c r="A347" s="982"/>
      <c r="B347" s="982"/>
      <c r="C347" s="982"/>
    </row>
    <row r="348" spans="1:3">
      <c r="A348" s="982"/>
      <c r="B348" s="982"/>
      <c r="C348" s="982"/>
    </row>
    <row r="349" spans="1:3">
      <c r="A349" s="982"/>
      <c r="B349" s="982"/>
      <c r="C349" s="982"/>
    </row>
    <row r="350" spans="1:3">
      <c r="A350" s="982"/>
      <c r="B350" s="982"/>
      <c r="C350" s="982"/>
    </row>
    <row r="351" spans="1:3">
      <c r="A351" s="982"/>
      <c r="B351" s="982"/>
      <c r="C351" s="982"/>
    </row>
    <row r="352" spans="1:3">
      <c r="A352" s="982"/>
      <c r="B352" s="982"/>
      <c r="C352" s="982"/>
    </row>
    <row r="353" spans="1:3">
      <c r="A353" s="982"/>
      <c r="B353" s="982"/>
      <c r="C353" s="982"/>
    </row>
    <row r="354" spans="1:3">
      <c r="A354" s="982"/>
      <c r="B354" s="982"/>
      <c r="C354" s="982"/>
    </row>
    <row r="355" spans="1:3">
      <c r="A355" s="982"/>
      <c r="B355" s="982"/>
      <c r="C355" s="982"/>
    </row>
    <row r="356" spans="1:3">
      <c r="A356" s="982"/>
      <c r="B356" s="982"/>
      <c r="C356" s="982"/>
    </row>
    <row r="357" spans="1:3">
      <c r="A357" s="982"/>
      <c r="B357" s="982"/>
      <c r="C357" s="982"/>
    </row>
    <row r="358" spans="1:3">
      <c r="A358" s="982"/>
      <c r="B358" s="982"/>
      <c r="C358" s="982"/>
    </row>
    <row r="359" spans="1:3">
      <c r="A359" s="982"/>
      <c r="B359" s="982"/>
      <c r="C359" s="982"/>
    </row>
    <row r="360" spans="1:3">
      <c r="A360" s="982"/>
      <c r="B360" s="982"/>
      <c r="C360" s="982"/>
    </row>
    <row r="361" spans="1:3">
      <c r="A361" s="982"/>
      <c r="B361" s="982"/>
      <c r="C361" s="982"/>
    </row>
    <row r="362" spans="1:3">
      <c r="A362" s="982"/>
      <c r="B362" s="982"/>
      <c r="C362" s="982"/>
    </row>
    <row r="363" spans="1:3">
      <c r="A363" s="982"/>
      <c r="B363" s="982"/>
      <c r="C363" s="982"/>
    </row>
    <row r="364" spans="1:3">
      <c r="A364" s="982"/>
      <c r="B364" s="982"/>
      <c r="C364" s="982"/>
    </row>
    <row r="365" spans="1:3">
      <c r="A365" s="982"/>
      <c r="B365" s="982"/>
      <c r="C365" s="982"/>
    </row>
    <row r="366" spans="1:3">
      <c r="A366" s="982"/>
      <c r="B366" s="982"/>
      <c r="C366" s="982"/>
    </row>
    <row r="367" spans="1:3">
      <c r="A367" s="982"/>
      <c r="B367" s="982"/>
      <c r="C367" s="982"/>
    </row>
    <row r="368" spans="1:3">
      <c r="A368" s="982"/>
      <c r="B368" s="982"/>
      <c r="C368" s="982"/>
    </row>
    <row r="369" spans="1:3">
      <c r="A369" s="982"/>
      <c r="B369" s="982"/>
      <c r="C369" s="982"/>
    </row>
    <row r="370" spans="1:3">
      <c r="A370" s="982"/>
      <c r="B370" s="982"/>
      <c r="C370" s="982"/>
    </row>
    <row r="371" spans="1:3">
      <c r="A371" s="982"/>
      <c r="B371" s="982"/>
      <c r="C371" s="982"/>
    </row>
    <row r="372" spans="1:3">
      <c r="A372" s="982"/>
      <c r="B372" s="982"/>
      <c r="C372" s="982"/>
    </row>
    <row r="373" spans="1:3">
      <c r="A373" s="982"/>
      <c r="B373" s="982"/>
      <c r="C373" s="982"/>
    </row>
    <row r="374" spans="1:3">
      <c r="A374" s="982"/>
      <c r="B374" s="982"/>
      <c r="C374" s="982"/>
    </row>
    <row r="375" spans="1:3">
      <c r="A375" s="982"/>
      <c r="B375" s="982"/>
      <c r="C375" s="982"/>
    </row>
    <row r="376" spans="1:3">
      <c r="A376" s="982"/>
      <c r="B376" s="982"/>
      <c r="C376" s="982"/>
    </row>
    <row r="377" spans="1:3">
      <c r="A377" s="982"/>
      <c r="B377" s="982"/>
      <c r="C377" s="982"/>
    </row>
    <row r="378" spans="1:3">
      <c r="A378" s="982"/>
      <c r="B378" s="982"/>
      <c r="C378" s="982"/>
    </row>
    <row r="379" spans="1:3">
      <c r="A379" s="982"/>
      <c r="B379" s="982"/>
      <c r="C379" s="982"/>
    </row>
    <row r="380" spans="1:3">
      <c r="A380" s="982"/>
      <c r="B380" s="982"/>
      <c r="C380" s="982"/>
    </row>
    <row r="381" spans="1:3">
      <c r="A381" s="982"/>
      <c r="B381" s="982"/>
      <c r="C381" s="982"/>
    </row>
    <row r="382" spans="1:3">
      <c r="A382" s="982"/>
      <c r="B382" s="982"/>
      <c r="C382" s="982"/>
    </row>
    <row r="383" spans="1:3">
      <c r="A383" s="982"/>
      <c r="B383" s="982"/>
      <c r="C383" s="982"/>
    </row>
    <row r="384" spans="1:3">
      <c r="A384" s="982"/>
      <c r="B384" s="982"/>
      <c r="C384" s="982"/>
    </row>
    <row r="385" spans="1:3">
      <c r="A385" s="982"/>
      <c r="B385" s="982"/>
      <c r="C385" s="982"/>
    </row>
    <row r="386" spans="1:3">
      <c r="A386" s="982"/>
      <c r="B386" s="982"/>
      <c r="C386" s="982"/>
    </row>
    <row r="387" spans="1:3">
      <c r="A387" s="982"/>
      <c r="B387" s="982"/>
      <c r="C387" s="982"/>
    </row>
    <row r="388" spans="1:3">
      <c r="A388" s="982"/>
      <c r="B388" s="982"/>
      <c r="C388" s="982"/>
    </row>
    <row r="389" spans="1:3">
      <c r="A389" s="982"/>
      <c r="B389" s="982"/>
      <c r="C389" s="982"/>
    </row>
    <row r="390" spans="1:3">
      <c r="A390" s="982"/>
      <c r="B390" s="982"/>
      <c r="C390" s="982"/>
    </row>
    <row r="391" spans="1:3">
      <c r="A391" s="982"/>
      <c r="B391" s="982"/>
      <c r="C391" s="982"/>
    </row>
    <row r="392" spans="1:3">
      <c r="A392" s="982"/>
      <c r="B392" s="982"/>
      <c r="C392" s="982"/>
    </row>
    <row r="393" spans="1:3">
      <c r="A393" s="982"/>
      <c r="B393" s="982"/>
      <c r="C393" s="982"/>
    </row>
    <row r="394" spans="1:3">
      <c r="A394" s="982"/>
      <c r="B394" s="982"/>
      <c r="C394" s="982"/>
    </row>
    <row r="395" spans="1:3">
      <c r="A395" s="982"/>
      <c r="B395" s="982"/>
      <c r="C395" s="982"/>
    </row>
    <row r="396" spans="1:3">
      <c r="A396" s="982"/>
      <c r="B396" s="982"/>
      <c r="C396" s="982"/>
    </row>
    <row r="397" spans="1:3">
      <c r="A397" s="982"/>
      <c r="B397" s="982"/>
      <c r="C397" s="982"/>
    </row>
    <row r="398" spans="1:3">
      <c r="A398" s="982"/>
      <c r="B398" s="982"/>
      <c r="C398" s="982"/>
    </row>
    <row r="399" spans="1:3">
      <c r="A399" s="982"/>
      <c r="B399" s="982"/>
      <c r="C399" s="982"/>
    </row>
    <row r="400" spans="1:3">
      <c r="A400" s="982"/>
      <c r="B400" s="982"/>
      <c r="C400" s="982"/>
    </row>
    <row r="401" spans="1:3">
      <c r="A401" s="982"/>
      <c r="B401" s="982"/>
      <c r="C401" s="982"/>
    </row>
    <row r="402" spans="1:3">
      <c r="A402" s="982"/>
      <c r="B402" s="982"/>
      <c r="C402" s="982"/>
    </row>
    <row r="403" spans="1:3">
      <c r="A403" s="982"/>
      <c r="B403" s="982"/>
      <c r="C403" s="982"/>
    </row>
    <row r="404" spans="1:3">
      <c r="A404" s="982"/>
      <c r="B404" s="982"/>
      <c r="C404" s="982"/>
    </row>
    <row r="405" spans="1:3">
      <c r="A405" s="982"/>
      <c r="B405" s="982"/>
      <c r="C405" s="982"/>
    </row>
    <row r="406" spans="1:3">
      <c r="A406" s="982"/>
      <c r="B406" s="982"/>
      <c r="C406" s="982"/>
    </row>
    <row r="407" spans="1:3">
      <c r="A407" s="982"/>
      <c r="B407" s="982"/>
      <c r="C407" s="982"/>
    </row>
    <row r="408" spans="1:3">
      <c r="A408" s="982"/>
      <c r="B408" s="982"/>
      <c r="C408" s="982"/>
    </row>
    <row r="409" spans="1:3">
      <c r="A409" s="982"/>
      <c r="B409" s="982"/>
      <c r="C409" s="982"/>
    </row>
    <row r="410" spans="1:3">
      <c r="A410" s="982"/>
      <c r="B410" s="982"/>
      <c r="C410" s="982"/>
    </row>
    <row r="411" spans="1:3">
      <c r="A411" s="982"/>
      <c r="B411" s="982"/>
      <c r="C411" s="982"/>
    </row>
    <row r="412" spans="1:3">
      <c r="A412" s="982"/>
      <c r="B412" s="982"/>
      <c r="C412" s="982"/>
    </row>
    <row r="413" spans="1:3">
      <c r="A413" s="982"/>
      <c r="B413" s="982"/>
      <c r="C413" s="982"/>
    </row>
    <row r="414" spans="1:3">
      <c r="A414" s="982"/>
      <c r="B414" s="982"/>
      <c r="C414" s="982"/>
    </row>
    <row r="415" spans="1:3">
      <c r="A415" s="982"/>
      <c r="B415" s="982"/>
      <c r="C415" s="982"/>
    </row>
    <row r="416" spans="1:3">
      <c r="A416" s="982"/>
      <c r="B416" s="982"/>
      <c r="C416" s="982"/>
    </row>
    <row r="417" spans="1:3">
      <c r="A417" s="982"/>
      <c r="B417" s="982"/>
      <c r="C417" s="982"/>
    </row>
    <row r="418" spans="1:3">
      <c r="A418" s="982"/>
      <c r="B418" s="982"/>
      <c r="C418" s="982"/>
    </row>
    <row r="419" spans="1:3">
      <c r="A419" s="982"/>
      <c r="B419" s="982"/>
      <c r="C419" s="982"/>
    </row>
    <row r="420" spans="1:3">
      <c r="A420" s="982"/>
      <c r="B420" s="982"/>
      <c r="C420" s="982"/>
    </row>
    <row r="421" spans="1:3">
      <c r="A421" s="982"/>
      <c r="B421" s="982"/>
      <c r="C421" s="982"/>
    </row>
    <row r="422" spans="1:3">
      <c r="A422" s="982"/>
      <c r="B422" s="982"/>
      <c r="C422" s="982"/>
    </row>
    <row r="423" spans="1:3">
      <c r="A423" s="982"/>
      <c r="B423" s="982"/>
      <c r="C423" s="982"/>
    </row>
    <row r="424" spans="1:3">
      <c r="A424" s="982"/>
      <c r="B424" s="982"/>
      <c r="C424" s="982"/>
    </row>
    <row r="425" spans="1:3">
      <c r="A425" s="982"/>
      <c r="B425" s="982"/>
      <c r="C425" s="982"/>
    </row>
    <row r="426" spans="1:3">
      <c r="A426" s="982"/>
      <c r="B426" s="982"/>
      <c r="C426" s="982"/>
    </row>
    <row r="427" spans="1:3">
      <c r="A427" s="982"/>
      <c r="B427" s="982"/>
      <c r="C427" s="982"/>
    </row>
    <row r="428" spans="1:3">
      <c r="A428" s="982"/>
      <c r="B428" s="982"/>
      <c r="C428" s="982"/>
    </row>
    <row r="429" spans="1:3">
      <c r="A429" s="982"/>
      <c r="B429" s="982"/>
      <c r="C429" s="982"/>
    </row>
    <row r="430" spans="1:3">
      <c r="A430" s="982"/>
      <c r="B430" s="982"/>
      <c r="C430" s="982"/>
    </row>
    <row r="431" spans="1:3">
      <c r="A431" s="982"/>
      <c r="B431" s="982"/>
      <c r="C431" s="982"/>
    </row>
    <row r="432" spans="1:3">
      <c r="A432" s="982"/>
      <c r="B432" s="982"/>
      <c r="C432" s="982"/>
    </row>
    <row r="433" spans="1:3">
      <c r="A433" s="982"/>
      <c r="B433" s="982"/>
      <c r="C433" s="982"/>
    </row>
    <row r="434" spans="1:3">
      <c r="A434" s="982"/>
      <c r="B434" s="982"/>
      <c r="C434" s="982"/>
    </row>
    <row r="435" spans="1:3">
      <c r="A435" s="982"/>
      <c r="B435" s="982"/>
      <c r="C435" s="982"/>
    </row>
    <row r="436" spans="1:3">
      <c r="A436" s="982"/>
      <c r="B436" s="982"/>
      <c r="C436" s="982"/>
    </row>
    <row r="437" spans="1:3">
      <c r="A437" s="982"/>
      <c r="B437" s="982"/>
      <c r="C437" s="982"/>
    </row>
    <row r="438" spans="1:3">
      <c r="A438" s="982"/>
      <c r="B438" s="982"/>
      <c r="C438" s="982"/>
    </row>
    <row r="439" spans="1:3">
      <c r="A439" s="982"/>
      <c r="B439" s="982"/>
      <c r="C439" s="982"/>
    </row>
    <row r="440" spans="1:3">
      <c r="A440" s="982"/>
      <c r="B440" s="982"/>
      <c r="C440" s="982"/>
    </row>
    <row r="441" spans="1:3">
      <c r="A441" s="982"/>
      <c r="B441" s="982"/>
      <c r="C441" s="982"/>
    </row>
    <row r="442" spans="1:3">
      <c r="A442" s="982"/>
      <c r="B442" s="982"/>
      <c r="C442" s="982"/>
    </row>
    <row r="443" spans="1:3">
      <c r="A443" s="982"/>
      <c r="B443" s="982"/>
      <c r="C443" s="982"/>
    </row>
    <row r="444" spans="1:3">
      <c r="A444" s="982"/>
      <c r="B444" s="982"/>
      <c r="C444" s="982"/>
    </row>
    <row r="445" spans="1:3">
      <c r="A445" s="982"/>
      <c r="B445" s="982"/>
      <c r="C445" s="982"/>
    </row>
    <row r="446" spans="1:3">
      <c r="A446" s="982"/>
      <c r="B446" s="982"/>
      <c r="C446" s="982"/>
    </row>
    <row r="447" spans="1:3">
      <c r="A447" s="982"/>
      <c r="B447" s="982"/>
      <c r="C447" s="982"/>
    </row>
    <row r="448" spans="1:3">
      <c r="A448" s="982"/>
      <c r="B448" s="982"/>
      <c r="C448" s="982"/>
    </row>
    <row r="449" spans="1:3">
      <c r="A449" s="982"/>
      <c r="B449" s="982"/>
      <c r="C449" s="982"/>
    </row>
    <row r="450" spans="1:3">
      <c r="A450" s="982"/>
      <c r="B450" s="982"/>
      <c r="C450" s="982"/>
    </row>
    <row r="451" spans="1:3">
      <c r="A451" s="982"/>
      <c r="B451" s="982"/>
      <c r="C451" s="982"/>
    </row>
    <row r="452" spans="1:3">
      <c r="A452" s="982"/>
      <c r="B452" s="982"/>
      <c r="C452" s="982"/>
    </row>
    <row r="453" spans="1:3">
      <c r="A453" s="982"/>
      <c r="B453" s="982"/>
      <c r="C453" s="982"/>
    </row>
    <row r="454" spans="1:3">
      <c r="A454" s="982"/>
      <c r="B454" s="982"/>
      <c r="C454" s="982"/>
    </row>
    <row r="455" spans="1:3">
      <c r="A455" s="982"/>
      <c r="B455" s="982"/>
      <c r="C455" s="982"/>
    </row>
    <row r="456" spans="1:3">
      <c r="A456" s="982"/>
      <c r="B456" s="982"/>
      <c r="C456" s="982"/>
    </row>
    <row r="457" spans="1:3">
      <c r="A457" s="982"/>
      <c r="B457" s="982"/>
      <c r="C457" s="982"/>
    </row>
    <row r="458" spans="1:3">
      <c r="A458" s="982"/>
      <c r="B458" s="982"/>
      <c r="C458" s="982"/>
    </row>
    <row r="459" spans="1:3">
      <c r="A459" s="982"/>
      <c r="B459" s="982"/>
      <c r="C459" s="982"/>
    </row>
    <row r="460" spans="1:3">
      <c r="A460" s="982"/>
      <c r="B460" s="982"/>
      <c r="C460" s="982"/>
    </row>
    <row r="461" spans="1:3">
      <c r="A461" s="982"/>
      <c r="B461" s="982"/>
      <c r="C461" s="982"/>
    </row>
    <row r="462" spans="1:3">
      <c r="A462" s="982"/>
      <c r="B462" s="982"/>
      <c r="C462" s="982"/>
    </row>
    <row r="463" spans="1:3">
      <c r="A463" s="982"/>
      <c r="B463" s="982"/>
      <c r="C463" s="982"/>
    </row>
    <row r="464" spans="1:3">
      <c r="A464" s="982"/>
      <c r="B464" s="982"/>
      <c r="C464" s="982"/>
    </row>
    <row r="465" spans="1:3">
      <c r="A465" s="982"/>
      <c r="B465" s="982"/>
      <c r="C465" s="982"/>
    </row>
    <row r="466" spans="1:3">
      <c r="A466" s="982"/>
      <c r="B466" s="982"/>
      <c r="C466" s="982"/>
    </row>
    <row r="467" spans="1:3">
      <c r="A467" s="982"/>
      <c r="B467" s="982"/>
      <c r="C467" s="982"/>
    </row>
    <row r="468" spans="1:3">
      <c r="A468" s="982"/>
      <c r="B468" s="982"/>
      <c r="C468" s="982"/>
    </row>
    <row r="469" spans="1:3">
      <c r="A469" s="982"/>
      <c r="B469" s="982"/>
      <c r="C469" s="982"/>
    </row>
    <row r="470" spans="1:3">
      <c r="A470" s="982"/>
      <c r="B470" s="982"/>
      <c r="C470" s="982"/>
    </row>
    <row r="471" spans="1:3">
      <c r="A471" s="982"/>
      <c r="B471" s="982"/>
      <c r="C471" s="982"/>
    </row>
    <row r="472" spans="1:3">
      <c r="A472" s="982"/>
      <c r="B472" s="982"/>
      <c r="C472" s="982"/>
    </row>
    <row r="473" spans="1:3">
      <c r="A473" s="982"/>
      <c r="B473" s="982"/>
      <c r="C473" s="982"/>
    </row>
    <row r="474" spans="1:3">
      <c r="A474" s="982"/>
      <c r="B474" s="982"/>
      <c r="C474" s="982"/>
    </row>
    <row r="475" spans="1:3">
      <c r="A475" s="982"/>
      <c r="B475" s="982"/>
      <c r="C475" s="982"/>
    </row>
    <row r="476" spans="1:3">
      <c r="A476" s="982"/>
      <c r="B476" s="982"/>
      <c r="C476" s="982"/>
    </row>
    <row r="477" spans="1:3">
      <c r="A477" s="982"/>
      <c r="B477" s="982"/>
      <c r="C477" s="982"/>
    </row>
    <row r="478" spans="1:3">
      <c r="A478" s="982"/>
      <c r="B478" s="982"/>
      <c r="C478" s="982"/>
    </row>
    <row r="479" spans="1:3">
      <c r="A479" s="982"/>
      <c r="B479" s="982"/>
      <c r="C479" s="982"/>
    </row>
    <row r="480" spans="1:3">
      <c r="A480" s="982"/>
      <c r="B480" s="982"/>
      <c r="C480" s="982"/>
    </row>
    <row r="481" spans="1:3">
      <c r="A481" s="982"/>
      <c r="B481" s="982"/>
      <c r="C481" s="982"/>
    </row>
    <row r="482" spans="1:3">
      <c r="A482" s="982"/>
      <c r="B482" s="982"/>
      <c r="C482" s="982"/>
    </row>
    <row r="483" spans="1:3">
      <c r="A483" s="982"/>
      <c r="B483" s="982"/>
      <c r="C483" s="982"/>
    </row>
    <row r="484" spans="1:3">
      <c r="A484" s="982"/>
      <c r="B484" s="982"/>
      <c r="C484" s="982"/>
    </row>
    <row r="485" spans="1:3">
      <c r="A485" s="982"/>
      <c r="B485" s="982"/>
      <c r="C485" s="982"/>
    </row>
    <row r="486" spans="1:3">
      <c r="A486" s="982"/>
      <c r="B486" s="982"/>
      <c r="C486" s="982"/>
    </row>
    <row r="487" spans="1:3">
      <c r="A487" s="982"/>
      <c r="B487" s="982"/>
      <c r="C487" s="982"/>
    </row>
    <row r="488" spans="1:3">
      <c r="A488" s="982"/>
      <c r="B488" s="982"/>
      <c r="C488" s="982"/>
    </row>
    <row r="489" spans="1:3">
      <c r="A489" s="982"/>
      <c r="B489" s="982"/>
      <c r="C489" s="982"/>
    </row>
    <row r="490" spans="1:3">
      <c r="A490" s="982"/>
      <c r="B490" s="982"/>
      <c r="C490" s="982"/>
    </row>
    <row r="491" spans="1:3">
      <c r="A491" s="982"/>
      <c r="B491" s="982"/>
      <c r="C491" s="982"/>
    </row>
    <row r="492" spans="1:3">
      <c r="A492" s="982"/>
      <c r="B492" s="982"/>
      <c r="C492" s="982"/>
    </row>
    <row r="493" spans="1:3">
      <c r="A493" s="982"/>
      <c r="B493" s="982"/>
      <c r="C493" s="982"/>
    </row>
    <row r="494" spans="1:3">
      <c r="A494" s="982"/>
      <c r="B494" s="982"/>
      <c r="C494" s="982"/>
    </row>
    <row r="495" spans="1:3">
      <c r="A495" s="982"/>
      <c r="B495" s="982"/>
      <c r="C495" s="982"/>
    </row>
    <row r="496" spans="1:3">
      <c r="A496" s="982"/>
      <c r="B496" s="982"/>
      <c r="C496" s="982"/>
    </row>
    <row r="497" spans="1:3">
      <c r="A497" s="982"/>
      <c r="B497" s="982"/>
      <c r="C497" s="982"/>
    </row>
    <row r="498" spans="1:3">
      <c r="A498" s="982"/>
      <c r="B498" s="982"/>
      <c r="C498" s="982"/>
    </row>
    <row r="499" spans="1:3">
      <c r="A499" s="982"/>
      <c r="B499" s="982"/>
      <c r="C499" s="982"/>
    </row>
    <row r="500" spans="1:3">
      <c r="A500" s="982"/>
      <c r="B500" s="982"/>
      <c r="C500" s="982"/>
    </row>
    <row r="501" spans="1:3">
      <c r="A501" s="982"/>
      <c r="B501" s="982"/>
      <c r="C501" s="982"/>
    </row>
    <row r="502" spans="1:3">
      <c r="A502" s="982"/>
      <c r="B502" s="982"/>
      <c r="C502" s="982"/>
    </row>
    <row r="503" spans="1:3">
      <c r="A503" s="982"/>
      <c r="B503" s="982"/>
      <c r="C503" s="982"/>
    </row>
    <row r="504" spans="1:3">
      <c r="A504" s="982"/>
      <c r="B504" s="982"/>
      <c r="C504" s="982"/>
    </row>
    <row r="505" spans="1:3">
      <c r="A505" s="982"/>
      <c r="B505" s="982"/>
      <c r="C505" s="982"/>
    </row>
    <row r="506" spans="1:3">
      <c r="A506" s="982"/>
      <c r="B506" s="982"/>
      <c r="C506" s="982"/>
    </row>
    <row r="507" spans="1:3">
      <c r="A507" s="982"/>
      <c r="B507" s="982"/>
      <c r="C507" s="982"/>
    </row>
    <row r="508" spans="1:3">
      <c r="A508" s="982"/>
      <c r="B508" s="982"/>
      <c r="C508" s="982"/>
    </row>
    <row r="509" spans="1:3">
      <c r="A509" s="982"/>
      <c r="B509" s="982"/>
      <c r="C509" s="982"/>
    </row>
    <row r="510" spans="1:3">
      <c r="A510" s="982"/>
      <c r="B510" s="982"/>
      <c r="C510" s="982"/>
    </row>
    <row r="511" spans="1:3">
      <c r="A511" s="982"/>
      <c r="B511" s="982"/>
      <c r="C511" s="982"/>
    </row>
    <row r="512" spans="1:3">
      <c r="A512" s="982"/>
      <c r="B512" s="982"/>
      <c r="C512" s="982"/>
    </row>
    <row r="513" spans="1:3">
      <c r="A513" s="982"/>
      <c r="B513" s="982"/>
      <c r="C513" s="982"/>
    </row>
    <row r="514" spans="1:3">
      <c r="A514" s="982"/>
      <c r="B514" s="982"/>
      <c r="C514" s="982"/>
    </row>
    <row r="515" spans="1:3">
      <c r="A515" s="982"/>
      <c r="B515" s="982"/>
      <c r="C515" s="982"/>
    </row>
    <row r="516" spans="1:3">
      <c r="A516" s="982"/>
      <c r="B516" s="982"/>
      <c r="C516" s="982"/>
    </row>
    <row r="517" spans="1:3">
      <c r="A517" s="982"/>
      <c r="B517" s="982"/>
      <c r="C517" s="982"/>
    </row>
    <row r="518" spans="1:3">
      <c r="A518" s="982"/>
      <c r="B518" s="982"/>
      <c r="C518" s="982"/>
    </row>
    <row r="519" spans="1:3">
      <c r="A519" s="982"/>
      <c r="B519" s="982"/>
      <c r="C519" s="982"/>
    </row>
    <row r="520" spans="1:3">
      <c r="A520" s="982"/>
      <c r="B520" s="982"/>
      <c r="C520" s="982"/>
    </row>
    <row r="521" spans="1:3">
      <c r="A521" s="982"/>
      <c r="B521" s="982"/>
      <c r="C521" s="982"/>
    </row>
    <row r="522" spans="1:3">
      <c r="A522" s="982"/>
      <c r="B522" s="982"/>
      <c r="C522" s="982"/>
    </row>
    <row r="523" spans="1:3">
      <c r="A523" s="982"/>
      <c r="B523" s="982"/>
      <c r="C523" s="982"/>
    </row>
    <row r="524" spans="1:3">
      <c r="A524" s="982"/>
      <c r="B524" s="982"/>
      <c r="C524" s="982"/>
    </row>
    <row r="525" spans="1:3">
      <c r="A525" s="982"/>
      <c r="B525" s="982"/>
      <c r="C525" s="982"/>
    </row>
    <row r="526" spans="1:3">
      <c r="A526" s="982"/>
      <c r="B526" s="982"/>
      <c r="C526" s="982"/>
    </row>
    <row r="527" spans="1:3">
      <c r="A527" s="982"/>
      <c r="B527" s="982"/>
      <c r="C527" s="982"/>
    </row>
    <row r="528" spans="1:3">
      <c r="A528" s="982"/>
      <c r="B528" s="982"/>
      <c r="C528" s="982"/>
    </row>
    <row r="529" spans="1:3">
      <c r="A529" s="982"/>
      <c r="B529" s="982"/>
      <c r="C529" s="982"/>
    </row>
    <row r="530" spans="1:3">
      <c r="A530" s="982"/>
      <c r="B530" s="982"/>
      <c r="C530" s="982"/>
    </row>
    <row r="531" spans="1:3">
      <c r="A531" s="982"/>
      <c r="B531" s="982"/>
      <c r="C531" s="982"/>
    </row>
    <row r="532" spans="1:3">
      <c r="A532" s="982"/>
      <c r="B532" s="982"/>
      <c r="C532" s="982"/>
    </row>
    <row r="533" spans="1:3">
      <c r="A533" s="982"/>
      <c r="B533" s="982"/>
      <c r="C533" s="982"/>
    </row>
    <row r="534" spans="1:3">
      <c r="A534" s="982"/>
      <c r="B534" s="982"/>
      <c r="C534" s="982"/>
    </row>
    <row r="535" spans="1:3">
      <c r="A535" s="982"/>
      <c r="B535" s="982"/>
      <c r="C535" s="982"/>
    </row>
    <row r="536" spans="1:3">
      <c r="A536" s="982"/>
      <c r="B536" s="982"/>
      <c r="C536" s="982"/>
    </row>
    <row r="537" spans="1:3">
      <c r="A537" s="982"/>
      <c r="B537" s="982"/>
      <c r="C537" s="982"/>
    </row>
    <row r="538" spans="1:3">
      <c r="A538" s="982"/>
      <c r="B538" s="982"/>
      <c r="C538" s="982"/>
    </row>
    <row r="539" spans="1:3">
      <c r="A539" s="982"/>
      <c r="B539" s="982"/>
      <c r="C539" s="982"/>
    </row>
    <row r="540" spans="1:3">
      <c r="A540" s="982"/>
      <c r="B540" s="982"/>
      <c r="C540" s="982"/>
    </row>
    <row r="541" spans="1:3">
      <c r="A541" s="982"/>
      <c r="B541" s="982"/>
      <c r="C541" s="982"/>
    </row>
    <row r="542" spans="1:3">
      <c r="A542" s="982"/>
      <c r="B542" s="982"/>
      <c r="C542" s="982"/>
    </row>
    <row r="543" spans="1:3">
      <c r="A543" s="982"/>
      <c r="B543" s="982"/>
      <c r="C543" s="982"/>
    </row>
    <row r="544" spans="1:3">
      <c r="A544" s="982"/>
      <c r="B544" s="982"/>
      <c r="C544" s="982"/>
    </row>
    <row r="545" spans="1:3">
      <c r="A545" s="982"/>
      <c r="B545" s="982"/>
      <c r="C545" s="982"/>
    </row>
    <row r="546" spans="1:3">
      <c r="A546" s="982"/>
      <c r="B546" s="982"/>
      <c r="C546" s="982"/>
    </row>
    <row r="547" spans="1:3">
      <c r="A547" s="982"/>
      <c r="B547" s="982"/>
      <c r="C547" s="982"/>
    </row>
    <row r="548" spans="1:3">
      <c r="A548" s="982"/>
      <c r="B548" s="982"/>
      <c r="C548" s="982"/>
    </row>
    <row r="549" spans="1:3">
      <c r="A549" s="982"/>
      <c r="B549" s="982"/>
      <c r="C549" s="982"/>
    </row>
    <row r="550" spans="1:3">
      <c r="A550" s="982"/>
      <c r="B550" s="982"/>
      <c r="C550" s="982"/>
    </row>
    <row r="551" spans="1:3">
      <c r="A551" s="982"/>
      <c r="B551" s="982"/>
      <c r="C551" s="982"/>
    </row>
    <row r="552" spans="1:3">
      <c r="A552" s="982"/>
      <c r="B552" s="982"/>
      <c r="C552" s="982"/>
    </row>
    <row r="553" spans="1:3">
      <c r="A553" s="982"/>
      <c r="B553" s="982"/>
      <c r="C553" s="982"/>
    </row>
    <row r="554" spans="1:3">
      <c r="A554" s="982"/>
      <c r="B554" s="982"/>
      <c r="C554" s="982"/>
    </row>
    <row r="555" spans="1:3">
      <c r="A555" s="982"/>
      <c r="B555" s="982"/>
      <c r="C555" s="982"/>
    </row>
    <row r="556" spans="1:3">
      <c r="A556" s="982"/>
      <c r="B556" s="982"/>
      <c r="C556" s="982"/>
    </row>
    <row r="557" spans="1:3">
      <c r="A557" s="982"/>
      <c r="B557" s="982"/>
      <c r="C557" s="982"/>
    </row>
    <row r="558" spans="1:3">
      <c r="A558" s="982"/>
      <c r="B558" s="982"/>
      <c r="C558" s="982"/>
    </row>
    <row r="559" spans="1:3">
      <c r="A559" s="982"/>
      <c r="B559" s="982"/>
      <c r="C559" s="982"/>
    </row>
    <row r="560" spans="1:3">
      <c r="A560" s="982"/>
      <c r="B560" s="982"/>
      <c r="C560" s="982"/>
    </row>
    <row r="561" spans="1:3">
      <c r="A561" s="982"/>
      <c r="B561" s="982"/>
      <c r="C561" s="982"/>
    </row>
    <row r="562" spans="1:3">
      <c r="A562" s="982"/>
      <c r="B562" s="982"/>
      <c r="C562" s="982"/>
    </row>
    <row r="563" spans="1:3">
      <c r="A563" s="982"/>
      <c r="B563" s="982"/>
      <c r="C563" s="982"/>
    </row>
    <row r="564" spans="1:3">
      <c r="A564" s="982"/>
      <c r="B564" s="982"/>
      <c r="C564" s="982"/>
    </row>
    <row r="565" spans="1:3">
      <c r="A565" s="982"/>
      <c r="B565" s="982"/>
      <c r="C565" s="982"/>
    </row>
    <row r="566" spans="1:3">
      <c r="A566" s="982"/>
      <c r="B566" s="982"/>
      <c r="C566" s="982"/>
    </row>
    <row r="567" spans="1:3">
      <c r="A567" s="982"/>
      <c r="B567" s="982"/>
      <c r="C567" s="982"/>
    </row>
    <row r="568" spans="1:3">
      <c r="A568" s="982"/>
      <c r="B568" s="982"/>
      <c r="C568" s="982"/>
    </row>
    <row r="569" spans="1:3">
      <c r="A569" s="982"/>
      <c r="B569" s="982"/>
      <c r="C569" s="982"/>
    </row>
    <row r="570" spans="1:3">
      <c r="A570" s="982"/>
      <c r="B570" s="982"/>
      <c r="C570" s="982"/>
    </row>
    <row r="571" spans="1:3">
      <c r="A571" s="982"/>
      <c r="B571" s="982"/>
      <c r="C571" s="982"/>
    </row>
    <row r="572" spans="1:3">
      <c r="A572" s="982"/>
      <c r="B572" s="982"/>
      <c r="C572" s="982"/>
    </row>
    <row r="573" spans="1:3">
      <c r="A573" s="982"/>
      <c r="B573" s="982"/>
      <c r="C573" s="982"/>
    </row>
    <row r="574" spans="1:3">
      <c r="A574" s="982"/>
      <c r="B574" s="982"/>
      <c r="C574" s="982"/>
    </row>
    <row r="575" spans="1:3">
      <c r="A575" s="982"/>
      <c r="B575" s="982"/>
      <c r="C575" s="982"/>
    </row>
    <row r="576" spans="1:3">
      <c r="A576" s="982"/>
      <c r="B576" s="982"/>
      <c r="C576" s="982"/>
    </row>
    <row r="577" spans="1:3">
      <c r="A577" s="982"/>
      <c r="B577" s="982"/>
      <c r="C577" s="982"/>
    </row>
    <row r="578" spans="1:3">
      <c r="A578" s="982"/>
      <c r="B578" s="982"/>
      <c r="C578" s="982"/>
    </row>
    <row r="579" spans="1:3">
      <c r="A579" s="982"/>
      <c r="B579" s="982"/>
      <c r="C579" s="982"/>
    </row>
    <row r="580" spans="1:3">
      <c r="A580" s="982"/>
      <c r="B580" s="982"/>
      <c r="C580" s="982"/>
    </row>
    <row r="581" spans="1:3">
      <c r="A581" s="982"/>
      <c r="B581" s="982"/>
      <c r="C581" s="982"/>
    </row>
    <row r="582" spans="1:3">
      <c r="A582" s="982"/>
      <c r="B582" s="982"/>
      <c r="C582" s="982"/>
    </row>
    <row r="583" spans="1:3">
      <c r="A583" s="982"/>
      <c r="B583" s="982"/>
      <c r="C583" s="982"/>
    </row>
    <row r="584" spans="1:3">
      <c r="A584" s="982"/>
      <c r="B584" s="982"/>
      <c r="C584" s="982"/>
    </row>
    <row r="585" spans="1:3">
      <c r="A585" s="982"/>
      <c r="B585" s="982"/>
      <c r="C585" s="982"/>
    </row>
    <row r="586" spans="1:3">
      <c r="A586" s="982"/>
      <c r="B586" s="982"/>
      <c r="C586" s="982"/>
    </row>
    <row r="587" spans="1:3">
      <c r="A587" s="982"/>
      <c r="B587" s="982"/>
      <c r="C587" s="982"/>
    </row>
    <row r="588" spans="1:3">
      <c r="A588" s="982"/>
      <c r="B588" s="982"/>
      <c r="C588" s="982"/>
    </row>
    <row r="589" spans="1:3">
      <c r="A589" s="982"/>
      <c r="B589" s="982"/>
      <c r="C589" s="982"/>
    </row>
    <row r="590" spans="1:3">
      <c r="A590" s="982"/>
      <c r="B590" s="982"/>
      <c r="C590" s="982"/>
    </row>
    <row r="591" spans="1:3">
      <c r="A591" s="982"/>
      <c r="B591" s="982"/>
      <c r="C591" s="982"/>
    </row>
    <row r="592" spans="1:3">
      <c r="A592" s="982"/>
      <c r="B592" s="982"/>
      <c r="C592" s="982"/>
    </row>
    <row r="593" spans="1:3">
      <c r="A593" s="982"/>
      <c r="B593" s="982"/>
      <c r="C593" s="982"/>
    </row>
    <row r="594" spans="1:3">
      <c r="A594" s="982"/>
      <c r="B594" s="982"/>
      <c r="C594" s="982"/>
    </row>
    <row r="595" spans="1:3">
      <c r="A595" s="982"/>
      <c r="B595" s="982"/>
      <c r="C595" s="982"/>
    </row>
    <row r="596" spans="1:3">
      <c r="A596" s="982"/>
      <c r="B596" s="982"/>
      <c r="C596" s="982"/>
    </row>
    <row r="597" spans="1:3">
      <c r="A597" s="982"/>
      <c r="B597" s="982"/>
      <c r="C597" s="982"/>
    </row>
    <row r="598" spans="1:3">
      <c r="A598" s="982"/>
      <c r="B598" s="982"/>
      <c r="C598" s="982"/>
    </row>
    <row r="599" spans="1:3">
      <c r="A599" s="982"/>
      <c r="B599" s="982"/>
      <c r="C599" s="982"/>
    </row>
    <row r="600" spans="1:3">
      <c r="A600" s="982"/>
      <c r="B600" s="982"/>
      <c r="C600" s="982"/>
    </row>
    <row r="601" spans="1:3">
      <c r="A601" s="982"/>
      <c r="B601" s="982"/>
      <c r="C601" s="982"/>
    </row>
    <row r="602" spans="1:3">
      <c r="A602" s="982"/>
      <c r="B602" s="982"/>
      <c r="C602" s="982"/>
    </row>
    <row r="603" spans="1:3">
      <c r="A603" s="982"/>
      <c r="B603" s="982"/>
      <c r="C603" s="982"/>
    </row>
    <row r="604" spans="1:3">
      <c r="A604" s="982"/>
      <c r="B604" s="982"/>
      <c r="C604" s="982"/>
    </row>
    <row r="605" spans="1:3">
      <c r="A605" s="982"/>
      <c r="B605" s="982"/>
      <c r="C605" s="982"/>
    </row>
    <row r="606" spans="1:3">
      <c r="A606" s="982"/>
      <c r="B606" s="982"/>
      <c r="C606" s="982"/>
    </row>
    <row r="607" spans="1:3">
      <c r="A607" s="982"/>
      <c r="B607" s="982"/>
      <c r="C607" s="982"/>
    </row>
    <row r="608" spans="1:3">
      <c r="A608" s="982"/>
      <c r="B608" s="982"/>
      <c r="C608" s="982"/>
    </row>
    <row r="609" spans="1:3">
      <c r="A609" s="982"/>
      <c r="B609" s="982"/>
      <c r="C609" s="982"/>
    </row>
    <row r="610" spans="1:3">
      <c r="A610" s="982"/>
      <c r="B610" s="982"/>
      <c r="C610" s="982"/>
    </row>
    <row r="611" spans="1:3">
      <c r="A611" s="982"/>
      <c r="B611" s="982"/>
      <c r="C611" s="982"/>
    </row>
    <row r="612" spans="1:3">
      <c r="A612" s="982"/>
      <c r="B612" s="982"/>
      <c r="C612" s="982"/>
    </row>
    <row r="613" spans="1:3">
      <c r="A613" s="982"/>
      <c r="B613" s="982"/>
      <c r="C613" s="982"/>
    </row>
    <row r="614" spans="1:3">
      <c r="A614" s="982"/>
      <c r="B614" s="982"/>
      <c r="C614" s="982"/>
    </row>
    <row r="615" spans="1:3">
      <c r="A615" s="982"/>
      <c r="B615" s="982"/>
      <c r="C615" s="982"/>
    </row>
    <row r="616" spans="1:3">
      <c r="A616" s="982"/>
      <c r="B616" s="982"/>
      <c r="C616" s="982"/>
    </row>
    <row r="617" spans="1:3">
      <c r="A617" s="982"/>
      <c r="B617" s="982"/>
      <c r="C617" s="982"/>
    </row>
    <row r="618" spans="1:3">
      <c r="A618" s="982"/>
      <c r="B618" s="982"/>
      <c r="C618" s="982"/>
    </row>
    <row r="619" spans="1:3">
      <c r="A619" s="982"/>
      <c r="B619" s="982"/>
      <c r="C619" s="982"/>
    </row>
    <row r="620" spans="1:3">
      <c r="A620" s="982"/>
      <c r="B620" s="982"/>
      <c r="C620" s="982"/>
    </row>
    <row r="621" spans="1:3">
      <c r="A621" s="982"/>
      <c r="B621" s="982"/>
      <c r="C621" s="982"/>
    </row>
    <row r="622" spans="1:3">
      <c r="A622" s="982"/>
      <c r="B622" s="982"/>
      <c r="C622" s="982"/>
    </row>
    <row r="623" spans="1:3">
      <c r="A623" s="982"/>
      <c r="B623" s="982"/>
      <c r="C623" s="982"/>
    </row>
    <row r="624" spans="1:3">
      <c r="A624" s="982"/>
      <c r="B624" s="982"/>
      <c r="C624" s="982"/>
    </row>
    <row r="625" spans="1:3">
      <c r="A625" s="982"/>
      <c r="B625" s="982"/>
      <c r="C625" s="982"/>
    </row>
    <row r="626" spans="1:3">
      <c r="A626" s="982"/>
      <c r="B626" s="982"/>
      <c r="C626" s="982"/>
    </row>
    <row r="627" spans="1:3">
      <c r="A627" s="982"/>
      <c r="B627" s="982"/>
      <c r="C627" s="982"/>
    </row>
    <row r="628" spans="1:3">
      <c r="A628" s="982"/>
      <c r="B628" s="982"/>
      <c r="C628" s="982"/>
    </row>
    <row r="629" spans="1:3">
      <c r="A629" s="982"/>
      <c r="B629" s="982"/>
      <c r="C629" s="982"/>
    </row>
    <row r="630" spans="1:3">
      <c r="A630" s="982"/>
      <c r="B630" s="982"/>
      <c r="C630" s="982"/>
    </row>
    <row r="631" spans="1:3">
      <c r="A631" s="982"/>
      <c r="B631" s="982"/>
      <c r="C631" s="982"/>
    </row>
    <row r="632" spans="1:3">
      <c r="A632" s="982"/>
      <c r="B632" s="982"/>
      <c r="C632" s="982"/>
    </row>
    <row r="633" spans="1:3">
      <c r="A633" s="982"/>
      <c r="B633" s="982"/>
      <c r="C633" s="982"/>
    </row>
    <row r="634" spans="1:3">
      <c r="A634" s="982"/>
      <c r="B634" s="982"/>
      <c r="C634" s="982"/>
    </row>
    <row r="635" spans="1:3">
      <c r="A635" s="982"/>
      <c r="B635" s="982"/>
      <c r="C635" s="982"/>
    </row>
    <row r="636" spans="1:3">
      <c r="A636" s="982"/>
      <c r="B636" s="982"/>
      <c r="C636" s="982"/>
    </row>
    <row r="637" spans="1:3">
      <c r="A637" s="982"/>
      <c r="B637" s="982"/>
      <c r="C637" s="982"/>
    </row>
    <row r="638" spans="1:3">
      <c r="A638" s="982"/>
      <c r="B638" s="982"/>
      <c r="C638" s="982"/>
    </row>
    <row r="639" spans="1:3">
      <c r="A639" s="982"/>
      <c r="B639" s="982"/>
      <c r="C639" s="982"/>
    </row>
    <row r="640" spans="1:3">
      <c r="A640" s="982"/>
      <c r="B640" s="982"/>
      <c r="C640" s="982"/>
    </row>
    <row r="641" spans="1:3">
      <c r="A641" s="982"/>
      <c r="B641" s="982"/>
      <c r="C641" s="982"/>
    </row>
    <row r="642" spans="1:3">
      <c r="A642" s="982"/>
      <c r="B642" s="982"/>
      <c r="C642" s="982"/>
    </row>
    <row r="643" spans="1:3">
      <c r="A643" s="982"/>
      <c r="B643" s="982"/>
      <c r="C643" s="982"/>
    </row>
    <row r="644" spans="1:3">
      <c r="A644" s="982"/>
      <c r="B644" s="982"/>
      <c r="C644" s="982"/>
    </row>
    <row r="645" spans="1:3">
      <c r="A645" s="982"/>
      <c r="B645" s="982"/>
      <c r="C645" s="982"/>
    </row>
    <row r="646" spans="1:3">
      <c r="A646" s="982"/>
      <c r="B646" s="982"/>
      <c r="C646" s="982"/>
    </row>
    <row r="647" spans="1:3">
      <c r="A647" s="982"/>
      <c r="B647" s="982"/>
      <c r="C647" s="982"/>
    </row>
    <row r="648" spans="1:3">
      <c r="A648" s="982"/>
      <c r="B648" s="982"/>
      <c r="C648" s="982"/>
    </row>
    <row r="649" spans="1:3">
      <c r="A649" s="982"/>
      <c r="B649" s="982"/>
      <c r="C649" s="982"/>
    </row>
    <row r="650" spans="1:3">
      <c r="A650" s="982"/>
      <c r="B650" s="982"/>
      <c r="C650" s="982"/>
    </row>
    <row r="651" spans="1:3">
      <c r="A651" s="982"/>
      <c r="B651" s="982"/>
      <c r="C651" s="982"/>
    </row>
    <row r="652" spans="1:3">
      <c r="A652" s="982"/>
      <c r="B652" s="982"/>
      <c r="C652" s="982"/>
    </row>
    <row r="653" spans="1:3">
      <c r="A653" s="982"/>
      <c r="B653" s="982"/>
      <c r="C653" s="982"/>
    </row>
    <row r="654" spans="1:3">
      <c r="A654" s="982"/>
      <c r="B654" s="982"/>
      <c r="C654" s="982"/>
    </row>
    <row r="655" spans="1:3">
      <c r="A655" s="982"/>
      <c r="B655" s="982"/>
      <c r="C655" s="982"/>
    </row>
    <row r="656" spans="1:3">
      <c r="A656" s="982"/>
      <c r="B656" s="982"/>
      <c r="C656" s="982"/>
    </row>
    <row r="657" spans="1:3">
      <c r="A657" s="982"/>
      <c r="B657" s="982"/>
      <c r="C657" s="982"/>
    </row>
    <row r="658" spans="1:3">
      <c r="A658" s="982"/>
      <c r="B658" s="982"/>
      <c r="C658" s="982"/>
    </row>
    <row r="659" spans="1:3">
      <c r="A659" s="982"/>
      <c r="B659" s="982"/>
      <c r="C659" s="982"/>
    </row>
    <row r="660" spans="1:3">
      <c r="A660" s="982"/>
      <c r="B660" s="982"/>
      <c r="C660" s="982"/>
    </row>
    <row r="661" spans="1:3">
      <c r="A661" s="982"/>
      <c r="B661" s="982"/>
      <c r="C661" s="982"/>
    </row>
    <row r="662" spans="1:3">
      <c r="A662" s="982"/>
      <c r="B662" s="982"/>
      <c r="C662" s="982"/>
    </row>
    <row r="663" spans="1:3">
      <c r="A663" s="982"/>
      <c r="B663" s="982"/>
      <c r="C663" s="982"/>
    </row>
    <row r="664" spans="1:3">
      <c r="A664" s="982"/>
      <c r="B664" s="982"/>
      <c r="C664" s="982"/>
    </row>
    <row r="665" spans="1:3">
      <c r="A665" s="982"/>
      <c r="B665" s="982"/>
      <c r="C665" s="982"/>
    </row>
    <row r="666" spans="1:3">
      <c r="A666" s="982"/>
      <c r="B666" s="982"/>
      <c r="C666" s="982"/>
    </row>
    <row r="667" spans="1:3">
      <c r="A667" s="982"/>
      <c r="B667" s="982"/>
      <c r="C667" s="982"/>
    </row>
    <row r="668" spans="1:3">
      <c r="A668" s="982"/>
      <c r="B668" s="982"/>
      <c r="C668" s="982"/>
    </row>
    <row r="669" spans="1:3">
      <c r="A669" s="982"/>
      <c r="B669" s="982"/>
      <c r="C669" s="982"/>
    </row>
    <row r="670" spans="1:3">
      <c r="A670" s="982"/>
      <c r="B670" s="982"/>
      <c r="C670" s="982"/>
    </row>
    <row r="671" spans="1:3">
      <c r="A671" s="982"/>
      <c r="B671" s="982"/>
      <c r="C671" s="982"/>
    </row>
    <row r="672" spans="1:3">
      <c r="A672" s="982"/>
      <c r="B672" s="982"/>
      <c r="C672" s="982"/>
    </row>
    <row r="673" spans="1:3">
      <c r="A673" s="982"/>
      <c r="B673" s="982"/>
      <c r="C673" s="982"/>
    </row>
    <row r="674" spans="1:3">
      <c r="A674" s="982"/>
      <c r="B674" s="982"/>
      <c r="C674" s="982"/>
    </row>
    <row r="675" spans="1:3">
      <c r="A675" s="982"/>
      <c r="B675" s="982"/>
      <c r="C675" s="982"/>
    </row>
    <row r="676" spans="1:3">
      <c r="A676" s="982"/>
      <c r="B676" s="982"/>
      <c r="C676" s="982"/>
    </row>
    <row r="677" spans="1:3">
      <c r="A677" s="982"/>
      <c r="B677" s="982"/>
      <c r="C677" s="982"/>
    </row>
    <row r="678" spans="1:3">
      <c r="A678" s="982"/>
      <c r="B678" s="982"/>
      <c r="C678" s="982"/>
    </row>
    <row r="679" spans="1:3">
      <c r="A679" s="982"/>
      <c r="B679" s="982"/>
      <c r="C679" s="982"/>
    </row>
    <row r="680" spans="1:3">
      <c r="A680" s="982"/>
      <c r="B680" s="982"/>
      <c r="C680" s="982"/>
    </row>
    <row r="681" spans="1:3">
      <c r="A681" s="982"/>
      <c r="B681" s="982"/>
      <c r="C681" s="982"/>
    </row>
    <row r="682" spans="1:3">
      <c r="A682" s="982"/>
      <c r="B682" s="982"/>
      <c r="C682" s="982"/>
    </row>
    <row r="683" spans="1:3">
      <c r="A683" s="982"/>
      <c r="B683" s="982"/>
      <c r="C683" s="982"/>
    </row>
    <row r="684" spans="1:3">
      <c r="A684" s="982"/>
      <c r="B684" s="982"/>
      <c r="C684" s="982"/>
    </row>
    <row r="685" spans="1:3">
      <c r="A685" s="982"/>
      <c r="B685" s="982"/>
      <c r="C685" s="982"/>
    </row>
    <row r="686" spans="1:3">
      <c r="A686" s="982"/>
      <c r="B686" s="982"/>
      <c r="C686" s="982"/>
    </row>
    <row r="687" spans="1:3">
      <c r="A687" s="982"/>
      <c r="B687" s="982"/>
      <c r="C687" s="982"/>
    </row>
    <row r="688" spans="1:3">
      <c r="A688" s="982"/>
      <c r="B688" s="982"/>
      <c r="C688" s="982"/>
    </row>
    <row r="689" spans="1:3">
      <c r="A689" s="982"/>
      <c r="B689" s="982"/>
      <c r="C689" s="982"/>
    </row>
    <row r="690" spans="1:3">
      <c r="A690" s="982"/>
      <c r="B690" s="982"/>
      <c r="C690" s="982"/>
    </row>
    <row r="691" spans="1:3">
      <c r="A691" s="982"/>
      <c r="B691" s="982"/>
      <c r="C691" s="982"/>
    </row>
    <row r="692" spans="1:3">
      <c r="A692" s="982"/>
      <c r="B692" s="982"/>
      <c r="C692" s="982"/>
    </row>
    <row r="693" spans="1:3">
      <c r="A693" s="982"/>
      <c r="B693" s="982"/>
      <c r="C693" s="982"/>
    </row>
    <row r="694" spans="1:3">
      <c r="A694" s="982"/>
      <c r="B694" s="982"/>
      <c r="C694" s="982"/>
    </row>
    <row r="695" spans="1:3">
      <c r="A695" s="982"/>
      <c r="B695" s="982"/>
      <c r="C695" s="982"/>
    </row>
    <row r="696" spans="1:3">
      <c r="A696" s="982"/>
      <c r="B696" s="982"/>
      <c r="C696" s="982"/>
    </row>
    <row r="697" spans="1:3">
      <c r="A697" s="982"/>
      <c r="B697" s="982"/>
      <c r="C697" s="982"/>
    </row>
    <row r="698" spans="1:3">
      <c r="A698" s="982"/>
      <c r="B698" s="982"/>
      <c r="C698" s="982"/>
    </row>
    <row r="699" spans="1:3">
      <c r="A699" s="982"/>
      <c r="B699" s="982"/>
      <c r="C699" s="982"/>
    </row>
    <row r="700" spans="1:3">
      <c r="A700" s="982"/>
      <c r="B700" s="982"/>
      <c r="C700" s="982"/>
    </row>
    <row r="701" spans="1:3">
      <c r="A701" s="982"/>
      <c r="B701" s="982"/>
      <c r="C701" s="982"/>
    </row>
    <row r="702" spans="1:3">
      <c r="A702" s="982"/>
      <c r="B702" s="982"/>
      <c r="C702" s="982"/>
    </row>
    <row r="703" spans="1:3">
      <c r="A703" s="982"/>
      <c r="B703" s="982"/>
      <c r="C703" s="982"/>
    </row>
    <row r="704" spans="1:3">
      <c r="A704" s="982"/>
      <c r="B704" s="982"/>
      <c r="C704" s="982"/>
    </row>
    <row r="705" spans="1:3">
      <c r="A705" s="982"/>
      <c r="B705" s="982"/>
      <c r="C705" s="982"/>
    </row>
    <row r="706" spans="1:3">
      <c r="A706" s="982"/>
      <c r="B706" s="982"/>
      <c r="C706" s="982"/>
    </row>
    <row r="707" spans="1:3">
      <c r="A707" s="982"/>
      <c r="B707" s="982"/>
      <c r="C707" s="982"/>
    </row>
    <row r="708" spans="1:3">
      <c r="A708" s="982"/>
      <c r="B708" s="982"/>
      <c r="C708" s="982"/>
    </row>
    <row r="709" spans="1:3">
      <c r="A709" s="982"/>
      <c r="B709" s="982"/>
      <c r="C709" s="982"/>
    </row>
    <row r="710" spans="1:3">
      <c r="A710" s="982"/>
      <c r="B710" s="982"/>
      <c r="C710" s="982"/>
    </row>
    <row r="711" spans="1:3">
      <c r="A711" s="982"/>
      <c r="B711" s="982"/>
      <c r="C711" s="982"/>
    </row>
    <row r="712" spans="1:3">
      <c r="A712" s="982"/>
      <c r="B712" s="982"/>
      <c r="C712" s="982"/>
    </row>
    <row r="713" spans="1:3">
      <c r="A713" s="982"/>
      <c r="B713" s="982"/>
      <c r="C713" s="982"/>
    </row>
    <row r="714" spans="1:3">
      <c r="A714" s="982"/>
      <c r="B714" s="982"/>
      <c r="C714" s="982"/>
    </row>
    <row r="715" spans="1:3">
      <c r="A715" s="982"/>
      <c r="B715" s="982"/>
      <c r="C715" s="982"/>
    </row>
    <row r="716" spans="1:3">
      <c r="A716" s="982"/>
      <c r="B716" s="982"/>
      <c r="C716" s="982"/>
    </row>
    <row r="717" spans="1:3">
      <c r="A717" s="982"/>
      <c r="B717" s="982"/>
      <c r="C717" s="982"/>
    </row>
    <row r="718" spans="1:3">
      <c r="A718" s="982"/>
      <c r="B718" s="982"/>
      <c r="C718" s="982"/>
    </row>
    <row r="719" spans="1:3">
      <c r="A719" s="982"/>
      <c r="B719" s="982"/>
      <c r="C719" s="982"/>
    </row>
    <row r="720" spans="1:3">
      <c r="A720" s="982"/>
      <c r="B720" s="982"/>
      <c r="C720" s="982"/>
    </row>
    <row r="721" spans="1:3">
      <c r="A721" s="982"/>
      <c r="B721" s="982"/>
      <c r="C721" s="982"/>
    </row>
    <row r="722" spans="1:3">
      <c r="A722" s="982"/>
      <c r="B722" s="982"/>
      <c r="C722" s="982"/>
    </row>
    <row r="723" spans="1:3">
      <c r="A723" s="982"/>
      <c r="B723" s="982"/>
      <c r="C723" s="982"/>
    </row>
    <row r="724" spans="1:3">
      <c r="A724" s="982"/>
      <c r="B724" s="982"/>
      <c r="C724" s="982"/>
    </row>
    <row r="725" spans="1:3">
      <c r="A725" s="982"/>
      <c r="B725" s="982"/>
      <c r="C725" s="982"/>
    </row>
    <row r="726" spans="1:3">
      <c r="A726" s="982"/>
      <c r="B726" s="982"/>
      <c r="C726" s="982"/>
    </row>
    <row r="727" spans="1:3">
      <c r="A727" s="982"/>
      <c r="B727" s="982"/>
      <c r="C727" s="982"/>
    </row>
    <row r="728" spans="1:3">
      <c r="A728" s="982"/>
      <c r="B728" s="982"/>
      <c r="C728" s="982"/>
    </row>
    <row r="729" spans="1:3">
      <c r="A729" s="982"/>
      <c r="B729" s="982"/>
      <c r="C729" s="982"/>
    </row>
    <row r="730" spans="1:3">
      <c r="A730" s="982"/>
      <c r="B730" s="982"/>
      <c r="C730" s="982"/>
    </row>
    <row r="731" spans="1:3">
      <c r="A731" s="982"/>
      <c r="B731" s="982"/>
      <c r="C731" s="982"/>
    </row>
    <row r="732" spans="1:3">
      <c r="A732" s="982"/>
      <c r="B732" s="982"/>
      <c r="C732" s="982"/>
    </row>
    <row r="733" spans="1:3">
      <c r="A733" s="982"/>
      <c r="B733" s="982"/>
      <c r="C733" s="982"/>
    </row>
    <row r="734" spans="1:3">
      <c r="A734" s="982"/>
      <c r="B734" s="982"/>
      <c r="C734" s="982"/>
    </row>
    <row r="735" spans="1:3">
      <c r="A735" s="982"/>
      <c r="B735" s="982"/>
      <c r="C735" s="982"/>
    </row>
    <row r="736" spans="1:3">
      <c r="A736" s="982"/>
      <c r="B736" s="982"/>
      <c r="C736" s="982"/>
    </row>
    <row r="737" spans="1:3">
      <c r="A737" s="982"/>
      <c r="B737" s="982"/>
      <c r="C737" s="982"/>
    </row>
    <row r="738" spans="1:3">
      <c r="A738" s="982"/>
      <c r="B738" s="982"/>
      <c r="C738" s="982"/>
    </row>
    <row r="739" spans="1:3">
      <c r="A739" s="982"/>
      <c r="B739" s="982"/>
      <c r="C739" s="982"/>
    </row>
    <row r="740" spans="1:3">
      <c r="A740" s="982"/>
      <c r="B740" s="982"/>
      <c r="C740" s="982"/>
    </row>
    <row r="741" spans="1:3">
      <c r="A741" s="982"/>
      <c r="B741" s="982"/>
      <c r="C741" s="982"/>
    </row>
    <row r="742" spans="1:3">
      <c r="A742" s="982"/>
      <c r="B742" s="982"/>
      <c r="C742" s="982"/>
    </row>
    <row r="743" spans="1:3">
      <c r="A743" s="982"/>
      <c r="B743" s="982"/>
      <c r="C743" s="982"/>
    </row>
    <row r="744" spans="1:3">
      <c r="A744" s="982"/>
      <c r="B744" s="982"/>
      <c r="C744" s="982"/>
    </row>
    <row r="745" spans="1:3">
      <c r="A745" s="982"/>
      <c r="B745" s="982"/>
      <c r="C745" s="982"/>
    </row>
    <row r="746" spans="1:3">
      <c r="A746" s="982"/>
      <c r="B746" s="982"/>
      <c r="C746" s="982"/>
    </row>
    <row r="747" spans="1:3">
      <c r="A747" s="982"/>
      <c r="B747" s="982"/>
      <c r="C747" s="982"/>
    </row>
    <row r="748" spans="1:3">
      <c r="A748" s="982"/>
      <c r="B748" s="982"/>
      <c r="C748" s="982"/>
    </row>
    <row r="749" spans="1:3">
      <c r="A749" s="982"/>
      <c r="B749" s="982"/>
      <c r="C749" s="982"/>
    </row>
    <row r="750" spans="1:3">
      <c r="A750" s="982"/>
      <c r="B750" s="982"/>
      <c r="C750" s="982"/>
    </row>
    <row r="751" spans="1:3">
      <c r="A751" s="982"/>
      <c r="B751" s="982"/>
      <c r="C751" s="982"/>
    </row>
    <row r="752" spans="1:3">
      <c r="A752" s="982"/>
      <c r="B752" s="982"/>
      <c r="C752" s="982"/>
    </row>
    <row r="753" spans="1:3">
      <c r="A753" s="982"/>
      <c r="B753" s="982"/>
      <c r="C753" s="982"/>
    </row>
    <row r="754" spans="1:3">
      <c r="A754" s="982"/>
      <c r="B754" s="982"/>
      <c r="C754" s="982"/>
    </row>
    <row r="755" spans="1:3">
      <c r="A755" s="982"/>
      <c r="B755" s="982"/>
      <c r="C755" s="982"/>
    </row>
    <row r="756" spans="1:3">
      <c r="A756" s="982"/>
      <c r="B756" s="982"/>
      <c r="C756" s="982"/>
    </row>
    <row r="757" spans="1:3">
      <c r="A757" s="982"/>
      <c r="B757" s="982"/>
      <c r="C757" s="982"/>
    </row>
    <row r="758" spans="1:3">
      <c r="A758" s="982"/>
      <c r="B758" s="982"/>
      <c r="C758" s="982"/>
    </row>
    <row r="759" spans="1:3">
      <c r="A759" s="982"/>
      <c r="B759" s="982"/>
      <c r="C759" s="982"/>
    </row>
    <row r="760" spans="1:3">
      <c r="A760" s="982"/>
      <c r="B760" s="982"/>
      <c r="C760" s="982"/>
    </row>
    <row r="761" spans="1:3">
      <c r="A761" s="982"/>
      <c r="B761" s="982"/>
      <c r="C761" s="982"/>
    </row>
    <row r="762" spans="1:3">
      <c r="A762" s="982"/>
      <c r="B762" s="982"/>
      <c r="C762" s="982"/>
    </row>
    <row r="763" spans="1:3">
      <c r="A763" s="982"/>
      <c r="B763" s="982"/>
      <c r="C763" s="982"/>
    </row>
    <row r="764" spans="1:3">
      <c r="A764" s="982"/>
      <c r="B764" s="982"/>
      <c r="C764" s="982"/>
    </row>
    <row r="765" spans="1:3">
      <c r="A765" s="982"/>
      <c r="B765" s="982"/>
      <c r="C765" s="982"/>
    </row>
    <row r="766" spans="1:3">
      <c r="A766" s="982"/>
      <c r="B766" s="982"/>
      <c r="C766" s="982"/>
    </row>
    <row r="767" spans="1:3">
      <c r="A767" s="982"/>
      <c r="B767" s="982"/>
      <c r="C767" s="982"/>
    </row>
    <row r="768" spans="1:3">
      <c r="A768" s="982"/>
      <c r="B768" s="982"/>
      <c r="C768" s="982"/>
    </row>
    <row r="769" spans="1:3">
      <c r="A769" s="982"/>
      <c r="B769" s="982"/>
      <c r="C769" s="982"/>
    </row>
    <row r="770" spans="1:3">
      <c r="A770" s="982"/>
      <c r="B770" s="982"/>
      <c r="C770" s="982"/>
    </row>
    <row r="771" spans="1:3">
      <c r="A771" s="982"/>
      <c r="B771" s="982"/>
      <c r="C771" s="982"/>
    </row>
    <row r="772" spans="1:3">
      <c r="A772" s="982"/>
      <c r="B772" s="982"/>
      <c r="C772" s="982"/>
    </row>
    <row r="773" spans="1:3">
      <c r="A773" s="982"/>
      <c r="B773" s="982"/>
      <c r="C773" s="982"/>
    </row>
    <row r="774" spans="1:3">
      <c r="A774" s="982"/>
      <c r="B774" s="982"/>
      <c r="C774" s="982"/>
    </row>
    <row r="775" spans="1:3">
      <c r="A775" s="982"/>
      <c r="B775" s="982"/>
      <c r="C775" s="982"/>
    </row>
    <row r="776" spans="1:3">
      <c r="A776" s="982"/>
      <c r="B776" s="982"/>
      <c r="C776" s="982"/>
    </row>
    <row r="777" spans="1:3">
      <c r="A777" s="982"/>
      <c r="B777" s="982"/>
      <c r="C777" s="982"/>
    </row>
    <row r="778" spans="1:3">
      <c r="A778" s="982"/>
      <c r="B778" s="982"/>
      <c r="C778" s="982"/>
    </row>
    <row r="779" spans="1:3">
      <c r="A779" s="982"/>
      <c r="B779" s="982"/>
      <c r="C779" s="982"/>
    </row>
    <row r="780" spans="1:3">
      <c r="A780" s="982"/>
      <c r="B780" s="982"/>
      <c r="C780" s="982"/>
    </row>
    <row r="781" spans="1:3">
      <c r="A781" s="982"/>
      <c r="B781" s="982"/>
      <c r="C781" s="982"/>
    </row>
    <row r="782" spans="1:3">
      <c r="A782" s="982"/>
      <c r="B782" s="982"/>
      <c r="C782" s="982"/>
    </row>
    <row r="783" spans="1:3">
      <c r="A783" s="982"/>
      <c r="B783" s="982"/>
      <c r="C783" s="982"/>
    </row>
    <row r="784" spans="1:3">
      <c r="A784" s="982"/>
      <c r="B784" s="982"/>
      <c r="C784" s="982"/>
    </row>
    <row r="785" spans="1:3">
      <c r="A785" s="982"/>
      <c r="B785" s="982"/>
      <c r="C785" s="982"/>
    </row>
    <row r="786" spans="1:3">
      <c r="A786" s="982"/>
      <c r="B786" s="982"/>
      <c r="C786" s="982"/>
    </row>
    <row r="787" spans="1:3">
      <c r="A787" s="982"/>
      <c r="B787" s="982"/>
      <c r="C787" s="982"/>
    </row>
    <row r="788" spans="1:3">
      <c r="A788" s="982"/>
      <c r="B788" s="982"/>
      <c r="C788" s="982"/>
    </row>
    <row r="789" spans="1:3">
      <c r="A789" s="982"/>
      <c r="B789" s="982"/>
      <c r="C789" s="982"/>
    </row>
    <row r="790" spans="1:3">
      <c r="A790" s="982"/>
      <c r="B790" s="982"/>
      <c r="C790" s="982"/>
    </row>
    <row r="791" spans="1:3">
      <c r="A791" s="982"/>
      <c r="B791" s="982"/>
      <c r="C791" s="982"/>
    </row>
    <row r="792" spans="1:3">
      <c r="A792" s="982"/>
      <c r="B792" s="982"/>
      <c r="C792" s="982"/>
    </row>
    <row r="793" spans="1:3">
      <c r="A793" s="982"/>
      <c r="B793" s="982"/>
      <c r="C793" s="982"/>
    </row>
    <row r="794" spans="1:3">
      <c r="A794" s="982"/>
      <c r="B794" s="982"/>
      <c r="C794" s="982"/>
    </row>
    <row r="795" spans="1:3">
      <c r="A795" s="982"/>
      <c r="B795" s="982"/>
      <c r="C795" s="982"/>
    </row>
    <row r="796" spans="1:3">
      <c r="A796" s="982"/>
      <c r="B796" s="982"/>
      <c r="C796" s="982"/>
    </row>
    <row r="797" spans="1:3">
      <c r="A797" s="982"/>
      <c r="B797" s="982"/>
      <c r="C797" s="982"/>
    </row>
    <row r="798" spans="1:3">
      <c r="A798" s="982"/>
      <c r="B798" s="982"/>
      <c r="C798" s="982"/>
    </row>
    <row r="799" spans="1:3">
      <c r="A799" s="982"/>
      <c r="B799" s="982"/>
      <c r="C799" s="982"/>
    </row>
    <row r="800" spans="1:3">
      <c r="A800" s="982"/>
      <c r="B800" s="982"/>
      <c r="C800" s="982"/>
    </row>
    <row r="801" spans="1:3">
      <c r="A801" s="982"/>
      <c r="B801" s="982"/>
      <c r="C801" s="982"/>
    </row>
    <row r="802" spans="1:3">
      <c r="A802" s="982"/>
      <c r="B802" s="982"/>
      <c r="C802" s="982"/>
    </row>
    <row r="803" spans="1:3">
      <c r="A803" s="982"/>
      <c r="B803" s="982"/>
      <c r="C803" s="982"/>
    </row>
    <row r="804" spans="1:3">
      <c r="A804" s="982"/>
      <c r="B804" s="982"/>
      <c r="C804" s="982"/>
    </row>
    <row r="805" spans="1:3">
      <c r="A805" s="982"/>
      <c r="B805" s="982"/>
      <c r="C805" s="982"/>
    </row>
    <row r="806" spans="1:3">
      <c r="A806" s="982"/>
      <c r="B806" s="982"/>
      <c r="C806" s="982"/>
    </row>
    <row r="807" spans="1:3">
      <c r="A807" s="982"/>
      <c r="B807" s="982"/>
      <c r="C807" s="982"/>
    </row>
    <row r="808" spans="1:3">
      <c r="A808" s="982"/>
      <c r="B808" s="982"/>
      <c r="C808" s="982"/>
    </row>
    <row r="809" spans="1:3">
      <c r="A809" s="982"/>
      <c r="B809" s="982"/>
      <c r="C809" s="982"/>
    </row>
    <row r="810" spans="1:3">
      <c r="A810" s="982"/>
      <c r="B810" s="982"/>
      <c r="C810" s="982"/>
    </row>
    <row r="811" spans="1:3">
      <c r="A811" s="982"/>
      <c r="B811" s="982"/>
      <c r="C811" s="982"/>
    </row>
    <row r="812" spans="1:3">
      <c r="A812" s="982"/>
      <c r="B812" s="982"/>
      <c r="C812" s="982"/>
    </row>
    <row r="813" spans="1:3">
      <c r="A813" s="982"/>
      <c r="B813" s="982"/>
      <c r="C813" s="982"/>
    </row>
    <row r="814" spans="1:3">
      <c r="A814" s="982"/>
      <c r="B814" s="982"/>
      <c r="C814" s="982"/>
    </row>
    <row r="815" spans="1:3">
      <c r="A815" s="982"/>
      <c r="B815" s="982"/>
      <c r="C815" s="982"/>
    </row>
    <row r="816" spans="1:3">
      <c r="A816" s="982"/>
      <c r="B816" s="982"/>
      <c r="C816" s="982"/>
    </row>
    <row r="817" spans="1:3">
      <c r="A817" s="982"/>
      <c r="B817" s="982"/>
      <c r="C817" s="982"/>
    </row>
    <row r="818" spans="1:3">
      <c r="A818" s="982"/>
      <c r="B818" s="982"/>
      <c r="C818" s="982"/>
    </row>
    <row r="819" spans="1:3">
      <c r="A819" s="982"/>
      <c r="B819" s="982"/>
      <c r="C819" s="982"/>
    </row>
    <row r="820" spans="1:3">
      <c r="A820" s="982"/>
      <c r="B820" s="982"/>
      <c r="C820" s="982"/>
    </row>
    <row r="821" spans="1:3">
      <c r="A821" s="982"/>
      <c r="B821" s="982"/>
      <c r="C821" s="982"/>
    </row>
    <row r="822" spans="1:3">
      <c r="A822" s="982"/>
      <c r="B822" s="982"/>
      <c r="C822" s="982"/>
    </row>
    <row r="823" spans="1:3">
      <c r="A823" s="982"/>
      <c r="B823" s="982"/>
      <c r="C823" s="982"/>
    </row>
    <row r="824" spans="1:3">
      <c r="A824" s="982"/>
      <c r="B824" s="982"/>
      <c r="C824" s="982"/>
    </row>
    <row r="825" spans="1:3">
      <c r="A825" s="982"/>
      <c r="B825" s="982"/>
      <c r="C825" s="982"/>
    </row>
    <row r="826" spans="1:3">
      <c r="A826" s="982"/>
      <c r="B826" s="982"/>
      <c r="C826" s="982"/>
    </row>
    <row r="827" spans="1:3">
      <c r="A827" s="982"/>
      <c r="B827" s="982"/>
      <c r="C827" s="982"/>
    </row>
    <row r="828" spans="1:3">
      <c r="A828" s="982"/>
      <c r="B828" s="982"/>
      <c r="C828" s="982"/>
    </row>
    <row r="829" spans="1:3">
      <c r="A829" s="982"/>
      <c r="B829" s="982"/>
      <c r="C829" s="982"/>
    </row>
    <row r="830" spans="1:3">
      <c r="A830" s="982"/>
      <c r="B830" s="982"/>
      <c r="C830" s="982"/>
    </row>
    <row r="831" spans="1:3">
      <c r="A831" s="982"/>
      <c r="B831" s="982"/>
      <c r="C831" s="982"/>
    </row>
    <row r="832" spans="1:3">
      <c r="A832" s="982"/>
      <c r="B832" s="982"/>
      <c r="C832" s="982"/>
    </row>
    <row r="833" spans="1:3">
      <c r="A833" s="982"/>
      <c r="B833" s="982"/>
      <c r="C833" s="982"/>
    </row>
    <row r="834" spans="1:3">
      <c r="A834" s="982"/>
      <c r="B834" s="982"/>
      <c r="C834" s="982"/>
    </row>
    <row r="835" spans="1:3">
      <c r="A835" s="982"/>
      <c r="B835" s="982"/>
      <c r="C835" s="982"/>
    </row>
    <row r="836" spans="1:3">
      <c r="A836" s="982"/>
      <c r="B836" s="982"/>
      <c r="C836" s="982"/>
    </row>
    <row r="837" spans="1:3">
      <c r="A837" s="982"/>
      <c r="B837" s="982"/>
      <c r="C837" s="982"/>
    </row>
    <row r="838" spans="1:3">
      <c r="A838" s="982"/>
      <c r="B838" s="982"/>
      <c r="C838" s="982"/>
    </row>
    <row r="839" spans="1:3">
      <c r="A839" s="982"/>
      <c r="B839" s="982"/>
      <c r="C839" s="982"/>
    </row>
    <row r="840" spans="1:3">
      <c r="A840" s="982"/>
      <c r="B840" s="982"/>
      <c r="C840" s="982"/>
    </row>
    <row r="841" spans="1:3">
      <c r="A841" s="982"/>
      <c r="B841" s="982"/>
      <c r="C841" s="982"/>
    </row>
    <row r="842" spans="1:3">
      <c r="A842" s="982"/>
      <c r="B842" s="982"/>
      <c r="C842" s="982"/>
    </row>
    <row r="843" spans="1:3">
      <c r="A843" s="982"/>
      <c r="B843" s="982"/>
      <c r="C843" s="982"/>
    </row>
    <row r="844" spans="1:3">
      <c r="A844" s="982"/>
      <c r="B844" s="982"/>
      <c r="C844" s="982"/>
    </row>
    <row r="845" spans="1:3">
      <c r="A845" s="982"/>
      <c r="B845" s="982"/>
      <c r="C845" s="982"/>
    </row>
    <row r="846" spans="1:3">
      <c r="A846" s="982"/>
      <c r="B846" s="982"/>
      <c r="C846" s="982"/>
    </row>
    <row r="847" spans="1:3">
      <c r="A847" s="982"/>
      <c r="B847" s="982"/>
      <c r="C847" s="982"/>
    </row>
    <row r="848" spans="1:3">
      <c r="A848" s="982"/>
      <c r="B848" s="982"/>
      <c r="C848" s="982"/>
    </row>
    <row r="849" spans="1:3">
      <c r="A849" s="982"/>
      <c r="B849" s="982"/>
      <c r="C849" s="982"/>
    </row>
    <row r="850" spans="1:3">
      <c r="A850" s="982"/>
      <c r="B850" s="982"/>
      <c r="C850" s="982"/>
    </row>
    <row r="851" spans="1:3">
      <c r="A851" s="982"/>
      <c r="B851" s="982"/>
      <c r="C851" s="982"/>
    </row>
    <row r="852" spans="1:3">
      <c r="A852" s="982"/>
      <c r="B852" s="982"/>
      <c r="C852" s="982"/>
    </row>
    <row r="853" spans="1:3">
      <c r="A853" s="982"/>
      <c r="B853" s="982"/>
      <c r="C853" s="982"/>
    </row>
    <row r="854" spans="1:3">
      <c r="A854" s="982"/>
      <c r="B854" s="982"/>
      <c r="C854" s="982"/>
    </row>
    <row r="855" spans="1:3">
      <c r="A855" s="982"/>
      <c r="B855" s="982"/>
      <c r="C855" s="982"/>
    </row>
    <row r="856" spans="1:3">
      <c r="A856" s="982"/>
      <c r="B856" s="982"/>
      <c r="C856" s="982"/>
    </row>
    <row r="857" spans="1:3">
      <c r="A857" s="982"/>
      <c r="B857" s="982"/>
      <c r="C857" s="982"/>
    </row>
    <row r="858" spans="1:3">
      <c r="A858" s="982"/>
      <c r="B858" s="982"/>
      <c r="C858" s="982"/>
    </row>
    <row r="859" spans="1:3">
      <c r="A859" s="982"/>
      <c r="B859" s="982"/>
      <c r="C859" s="982"/>
    </row>
    <row r="860" spans="1:3">
      <c r="A860" s="982"/>
      <c r="B860" s="982"/>
      <c r="C860" s="982"/>
    </row>
    <row r="861" spans="1:3">
      <c r="A861" s="982"/>
      <c r="B861" s="982"/>
      <c r="C861" s="982"/>
    </row>
    <row r="862" spans="1:3">
      <c r="A862" s="982"/>
      <c r="B862" s="982"/>
      <c r="C862" s="982"/>
    </row>
    <row r="863" spans="1:3">
      <c r="A863" s="982"/>
      <c r="B863" s="982"/>
      <c r="C863" s="982"/>
    </row>
    <row r="864" spans="1:3">
      <c r="A864" s="982"/>
      <c r="B864" s="982"/>
      <c r="C864" s="982"/>
    </row>
    <row r="865" spans="1:3">
      <c r="A865" s="982"/>
      <c r="B865" s="982"/>
      <c r="C865" s="982"/>
    </row>
    <row r="866" spans="1:3">
      <c r="A866" s="982"/>
      <c r="B866" s="982"/>
      <c r="C866" s="982"/>
    </row>
    <row r="867" spans="1:3">
      <c r="A867" s="982"/>
      <c r="B867" s="982"/>
      <c r="C867" s="982"/>
    </row>
    <row r="868" spans="1:3">
      <c r="A868" s="982"/>
      <c r="B868" s="982"/>
      <c r="C868" s="982"/>
    </row>
    <row r="869" spans="1:3">
      <c r="A869" s="982"/>
      <c r="B869" s="982"/>
      <c r="C869" s="982"/>
    </row>
    <row r="870" spans="1:3">
      <c r="A870" s="982"/>
      <c r="B870" s="982"/>
      <c r="C870" s="982"/>
    </row>
    <row r="871" spans="1:3">
      <c r="A871" s="982"/>
      <c r="B871" s="982"/>
      <c r="C871" s="982"/>
    </row>
    <row r="872" spans="1:3">
      <c r="A872" s="982"/>
      <c r="B872" s="982"/>
      <c r="C872" s="982"/>
    </row>
    <row r="873" spans="1:3">
      <c r="A873" s="982"/>
      <c r="B873" s="982"/>
      <c r="C873" s="982"/>
    </row>
    <row r="874" spans="1:3">
      <c r="A874" s="982"/>
      <c r="B874" s="982"/>
      <c r="C874" s="982"/>
    </row>
    <row r="875" spans="1:3">
      <c r="A875" s="982"/>
      <c r="B875" s="982"/>
      <c r="C875" s="982"/>
    </row>
    <row r="876" spans="1:3">
      <c r="A876" s="982"/>
      <c r="B876" s="982"/>
      <c r="C876" s="982"/>
    </row>
    <row r="877" spans="1:3">
      <c r="A877" s="982"/>
      <c r="B877" s="982"/>
      <c r="C877" s="982"/>
    </row>
    <row r="878" spans="1:3">
      <c r="A878" s="982"/>
      <c r="B878" s="982"/>
      <c r="C878" s="982"/>
    </row>
    <row r="879" spans="1:3">
      <c r="A879" s="982"/>
      <c r="B879" s="982"/>
      <c r="C879" s="982"/>
    </row>
    <row r="880" spans="1:3">
      <c r="A880" s="982"/>
      <c r="B880" s="982"/>
      <c r="C880" s="982"/>
    </row>
    <row r="881" spans="1:3">
      <c r="A881" s="982"/>
      <c r="B881" s="982"/>
      <c r="C881" s="982"/>
    </row>
    <row r="882" spans="1:3">
      <c r="A882" s="982"/>
      <c r="B882" s="982"/>
      <c r="C882" s="982"/>
    </row>
    <row r="883" spans="1:3">
      <c r="A883" s="982"/>
      <c r="B883" s="982"/>
      <c r="C883" s="982"/>
    </row>
    <row r="884" spans="1:3">
      <c r="A884" s="982"/>
      <c r="B884" s="982"/>
      <c r="C884" s="982"/>
    </row>
    <row r="885" spans="1:3">
      <c r="A885" s="982"/>
      <c r="B885" s="982"/>
      <c r="C885" s="982"/>
    </row>
    <row r="886" spans="1:3">
      <c r="A886" s="982"/>
      <c r="B886" s="982"/>
      <c r="C886" s="982"/>
    </row>
    <row r="887" spans="1:3">
      <c r="A887" s="982"/>
      <c r="B887" s="982"/>
      <c r="C887" s="982"/>
    </row>
    <row r="888" spans="1:3">
      <c r="A888" s="982"/>
      <c r="B888" s="982"/>
      <c r="C888" s="982"/>
    </row>
    <row r="889" spans="1:3">
      <c r="A889" s="982"/>
      <c r="B889" s="982"/>
      <c r="C889" s="982"/>
    </row>
    <row r="890" spans="1:3">
      <c r="A890" s="982"/>
      <c r="B890" s="982"/>
      <c r="C890" s="982"/>
    </row>
    <row r="891" spans="1:3">
      <c r="A891" s="982"/>
      <c r="B891" s="982"/>
      <c r="C891" s="982"/>
    </row>
    <row r="892" spans="1:3">
      <c r="A892" s="982"/>
      <c r="B892" s="982"/>
      <c r="C892" s="982"/>
    </row>
    <row r="893" spans="1:3">
      <c r="A893" s="982"/>
      <c r="B893" s="982"/>
      <c r="C893" s="982"/>
    </row>
    <row r="894" spans="1:3">
      <c r="A894" s="982"/>
      <c r="B894" s="982"/>
      <c r="C894" s="982"/>
    </row>
    <row r="895" spans="1:3">
      <c r="A895" s="982"/>
      <c r="B895" s="982"/>
      <c r="C895" s="982"/>
    </row>
    <row r="896" spans="1:3">
      <c r="A896" s="982"/>
      <c r="B896" s="982"/>
      <c r="C896" s="982"/>
    </row>
    <row r="897" spans="1:3">
      <c r="A897" s="982"/>
      <c r="B897" s="982"/>
      <c r="C897" s="982"/>
    </row>
    <row r="898" spans="1:3">
      <c r="A898" s="982"/>
      <c r="B898" s="982"/>
      <c r="C898" s="982"/>
    </row>
    <row r="899" spans="1:3">
      <c r="A899" s="982"/>
      <c r="B899" s="982"/>
      <c r="C899" s="982"/>
    </row>
    <row r="900" spans="1:3">
      <c r="A900" s="982"/>
      <c r="B900" s="982"/>
      <c r="C900" s="982"/>
    </row>
    <row r="901" spans="1:3">
      <c r="A901" s="982"/>
      <c r="B901" s="982"/>
      <c r="C901" s="982"/>
    </row>
    <row r="902" spans="1:3">
      <c r="A902" s="982"/>
      <c r="B902" s="982"/>
      <c r="C902" s="982"/>
    </row>
    <row r="903" spans="1:3">
      <c r="A903" s="982"/>
      <c r="B903" s="982"/>
      <c r="C903" s="982"/>
    </row>
    <row r="904" spans="1:3">
      <c r="A904" s="982"/>
      <c r="B904" s="982"/>
      <c r="C904" s="982"/>
    </row>
    <row r="905" spans="1:3">
      <c r="A905" s="982"/>
      <c r="B905" s="982"/>
      <c r="C905" s="982"/>
    </row>
    <row r="906" spans="1:3">
      <c r="A906" s="982"/>
      <c r="B906" s="982"/>
      <c r="C906" s="982"/>
    </row>
    <row r="907" spans="1:3">
      <c r="A907" s="982"/>
      <c r="B907" s="982"/>
      <c r="C907" s="982"/>
    </row>
    <row r="908" spans="1:3">
      <c r="A908" s="982"/>
      <c r="B908" s="982"/>
      <c r="C908" s="982"/>
    </row>
    <row r="909" spans="1:3">
      <c r="A909" s="982"/>
      <c r="B909" s="982"/>
      <c r="C909" s="982"/>
    </row>
    <row r="910" spans="1:3">
      <c r="A910" s="982"/>
      <c r="B910" s="982"/>
      <c r="C910" s="982"/>
    </row>
    <row r="911" spans="1:3">
      <c r="A911" s="982"/>
      <c r="B911" s="982"/>
      <c r="C911" s="982"/>
    </row>
    <row r="912" spans="1:3">
      <c r="A912" s="982"/>
      <c r="B912" s="982"/>
      <c r="C912" s="982"/>
    </row>
    <row r="913" spans="1:3">
      <c r="A913" s="982"/>
      <c r="B913" s="982"/>
      <c r="C913" s="982"/>
    </row>
    <row r="914" spans="1:3">
      <c r="A914" s="982"/>
      <c r="B914" s="982"/>
      <c r="C914" s="982"/>
    </row>
    <row r="915" spans="1:3">
      <c r="A915" s="982"/>
      <c r="B915" s="982"/>
      <c r="C915" s="982"/>
    </row>
    <row r="916" spans="1:3">
      <c r="A916" s="982"/>
      <c r="B916" s="982"/>
      <c r="C916" s="982"/>
    </row>
    <row r="917" spans="1:3">
      <c r="A917" s="982"/>
      <c r="B917" s="982"/>
      <c r="C917" s="982"/>
    </row>
    <row r="918" spans="1:3">
      <c r="A918" s="982"/>
      <c r="B918" s="982"/>
      <c r="C918" s="982"/>
    </row>
    <row r="919" spans="1:3">
      <c r="A919" s="982"/>
      <c r="B919" s="982"/>
      <c r="C919" s="982"/>
    </row>
    <row r="920" spans="1:3">
      <c r="A920" s="982"/>
      <c r="B920" s="982"/>
      <c r="C920" s="982"/>
    </row>
    <row r="921" spans="1:3">
      <c r="A921" s="982"/>
      <c r="B921" s="982"/>
      <c r="C921" s="982"/>
    </row>
    <row r="922" spans="1:3">
      <c r="A922" s="982"/>
      <c r="B922" s="982"/>
      <c r="C922" s="982"/>
    </row>
    <row r="923" spans="1:3">
      <c r="A923" s="982"/>
      <c r="B923" s="982"/>
      <c r="C923" s="982"/>
    </row>
    <row r="924" spans="1:3">
      <c r="A924" s="982"/>
      <c r="B924" s="982"/>
      <c r="C924" s="982"/>
    </row>
    <row r="925" spans="1:3">
      <c r="A925" s="982"/>
      <c r="B925" s="982"/>
      <c r="C925" s="982"/>
    </row>
    <row r="926" spans="1:3">
      <c r="A926" s="982"/>
      <c r="B926" s="982"/>
      <c r="C926" s="982"/>
    </row>
    <row r="927" spans="1:3">
      <c r="A927" s="982"/>
      <c r="B927" s="982"/>
      <c r="C927" s="982"/>
    </row>
    <row r="928" spans="1:3">
      <c r="A928" s="982"/>
      <c r="B928" s="982"/>
      <c r="C928" s="982"/>
    </row>
    <row r="929" spans="1:3">
      <c r="A929" s="982"/>
      <c r="B929" s="982"/>
      <c r="C929" s="982"/>
    </row>
    <row r="930" spans="1:3">
      <c r="A930" s="982"/>
      <c r="B930" s="982"/>
      <c r="C930" s="982"/>
    </row>
    <row r="931" spans="1:3">
      <c r="A931" s="982"/>
      <c r="B931" s="982"/>
      <c r="C931" s="982"/>
    </row>
    <row r="932" spans="1:3">
      <c r="A932" s="982"/>
      <c r="B932" s="982"/>
      <c r="C932" s="982"/>
    </row>
    <row r="933" spans="1:3">
      <c r="A933" s="982"/>
      <c r="B933" s="982"/>
      <c r="C933" s="982"/>
    </row>
    <row r="934" spans="1:3">
      <c r="A934" s="982"/>
      <c r="B934" s="982"/>
      <c r="C934" s="982"/>
    </row>
    <row r="935" spans="1:3">
      <c r="A935" s="982"/>
      <c r="B935" s="982"/>
      <c r="C935" s="982"/>
    </row>
    <row r="936" spans="1:3">
      <c r="A936" s="982"/>
      <c r="B936" s="982"/>
      <c r="C936" s="982"/>
    </row>
    <row r="937" spans="1:3">
      <c r="A937" s="982"/>
      <c r="B937" s="982"/>
      <c r="C937" s="982"/>
    </row>
    <row r="938" spans="1:3">
      <c r="A938" s="982"/>
      <c r="B938" s="982"/>
      <c r="C938" s="982"/>
    </row>
    <row r="939" spans="1:3">
      <c r="A939" s="982"/>
      <c r="B939" s="982"/>
      <c r="C939" s="982"/>
    </row>
    <row r="940" spans="1:3">
      <c r="A940" s="982"/>
      <c r="B940" s="982"/>
      <c r="C940" s="982"/>
    </row>
    <row r="941" spans="1:3">
      <c r="A941" s="982"/>
      <c r="B941" s="982"/>
      <c r="C941" s="982"/>
    </row>
    <row r="942" spans="1:3">
      <c r="A942" s="982"/>
      <c r="B942" s="982"/>
      <c r="C942" s="982"/>
    </row>
    <row r="943" spans="1:3">
      <c r="A943" s="982"/>
      <c r="B943" s="982"/>
      <c r="C943" s="982"/>
    </row>
    <row r="944" spans="1:3">
      <c r="A944" s="982"/>
      <c r="B944" s="982"/>
      <c r="C944" s="982"/>
    </row>
    <row r="945" spans="1:3">
      <c r="A945" s="982"/>
      <c r="B945" s="982"/>
      <c r="C945" s="982"/>
    </row>
    <row r="946" spans="1:3">
      <c r="A946" s="982"/>
      <c r="B946" s="982"/>
      <c r="C946" s="982"/>
    </row>
    <row r="947" spans="1:3">
      <c r="A947" s="982"/>
      <c r="B947" s="982"/>
      <c r="C947" s="982"/>
    </row>
    <row r="948" spans="1:3">
      <c r="A948" s="982"/>
      <c r="B948" s="982"/>
      <c r="C948" s="982"/>
    </row>
    <row r="949" spans="1:3">
      <c r="A949" s="982"/>
      <c r="B949" s="982"/>
      <c r="C949" s="982"/>
    </row>
    <row r="950" spans="1:3">
      <c r="A950" s="982"/>
      <c r="B950" s="982"/>
      <c r="C950" s="982"/>
    </row>
    <row r="951" spans="1:3">
      <c r="A951" s="982"/>
      <c r="B951" s="982"/>
      <c r="C951" s="982"/>
    </row>
    <row r="952" spans="1:3">
      <c r="A952" s="982"/>
      <c r="B952" s="982"/>
      <c r="C952" s="982"/>
    </row>
    <row r="953" spans="1:3">
      <c r="A953" s="982"/>
      <c r="B953" s="982"/>
      <c r="C953" s="982"/>
    </row>
    <row r="954" spans="1:3">
      <c r="A954" s="982"/>
      <c r="B954" s="982"/>
      <c r="C954" s="982"/>
    </row>
    <row r="955" spans="1:3">
      <c r="A955" s="982"/>
      <c r="B955" s="982"/>
      <c r="C955" s="982"/>
    </row>
    <row r="956" spans="1:3">
      <c r="A956" s="982"/>
      <c r="B956" s="982"/>
      <c r="C956" s="982"/>
    </row>
    <row r="957" spans="1:3">
      <c r="A957" s="982"/>
      <c r="B957" s="982"/>
      <c r="C957" s="982"/>
    </row>
    <row r="958" spans="1:3">
      <c r="A958" s="982"/>
      <c r="B958" s="982"/>
      <c r="C958" s="982"/>
    </row>
    <row r="959" spans="1:3">
      <c r="A959" s="982"/>
      <c r="B959" s="982"/>
      <c r="C959" s="982"/>
    </row>
    <row r="960" spans="1:3">
      <c r="A960" s="982"/>
      <c r="B960" s="982"/>
      <c r="C960" s="982"/>
    </row>
    <row r="961" spans="1:3">
      <c r="A961" s="982"/>
      <c r="B961" s="982"/>
      <c r="C961" s="982"/>
    </row>
    <row r="962" spans="1:3">
      <c r="A962" s="982"/>
      <c r="B962" s="982"/>
      <c r="C962" s="982"/>
    </row>
    <row r="963" spans="1:3">
      <c r="A963" s="982"/>
      <c r="B963" s="982"/>
      <c r="C963" s="982"/>
    </row>
    <row r="964" spans="1:3">
      <c r="A964" s="982"/>
      <c r="B964" s="982"/>
      <c r="C964" s="982"/>
    </row>
    <row r="965" spans="1:3">
      <c r="A965" s="982"/>
      <c r="B965" s="982"/>
      <c r="C965" s="982"/>
    </row>
    <row r="966" spans="1:3">
      <c r="A966" s="982"/>
      <c r="B966" s="982"/>
      <c r="C966" s="982"/>
    </row>
    <row r="967" spans="1:3">
      <c r="A967" s="982"/>
      <c r="B967" s="982"/>
      <c r="C967" s="982"/>
    </row>
    <row r="968" spans="1:3">
      <c r="A968" s="982"/>
      <c r="B968" s="982"/>
      <c r="C968" s="982"/>
    </row>
    <row r="969" spans="1:3">
      <c r="A969" s="982"/>
      <c r="B969" s="982"/>
      <c r="C969" s="982"/>
    </row>
    <row r="970" spans="1:3">
      <c r="A970" s="982"/>
      <c r="B970" s="982"/>
      <c r="C970" s="982"/>
    </row>
    <row r="971" spans="1:3">
      <c r="A971" s="982"/>
      <c r="B971" s="982"/>
      <c r="C971" s="982"/>
    </row>
    <row r="972" spans="1:3">
      <c r="A972" s="982"/>
      <c r="B972" s="982"/>
      <c r="C972" s="982"/>
    </row>
    <row r="973" spans="1:3">
      <c r="A973" s="982"/>
      <c r="B973" s="982"/>
      <c r="C973" s="982"/>
    </row>
    <row r="974" spans="1:3">
      <c r="A974" s="982"/>
      <c r="B974" s="982"/>
      <c r="C974" s="982"/>
    </row>
    <row r="975" spans="1:3">
      <c r="A975" s="982"/>
      <c r="B975" s="982"/>
      <c r="C975" s="982"/>
    </row>
    <row r="976" spans="1:3">
      <c r="A976" s="982"/>
      <c r="B976" s="982"/>
      <c r="C976" s="982"/>
    </row>
    <row r="977" spans="1:3">
      <c r="A977" s="982"/>
      <c r="B977" s="982"/>
      <c r="C977" s="982"/>
    </row>
    <row r="978" spans="1:3">
      <c r="A978" s="982"/>
      <c r="B978" s="982"/>
      <c r="C978" s="982"/>
    </row>
    <row r="979" spans="1:3">
      <c r="A979" s="982"/>
      <c r="B979" s="982"/>
      <c r="C979" s="982"/>
    </row>
    <row r="980" spans="1:3">
      <c r="A980" s="982"/>
      <c r="B980" s="982"/>
      <c r="C980" s="982"/>
    </row>
    <row r="981" spans="1:3">
      <c r="A981" s="982"/>
      <c r="B981" s="982"/>
      <c r="C981" s="982"/>
    </row>
    <row r="982" spans="1:3">
      <c r="A982" s="982"/>
      <c r="B982" s="982"/>
      <c r="C982" s="982"/>
    </row>
    <row r="983" spans="1:3">
      <c r="A983" s="982"/>
      <c r="B983" s="982"/>
      <c r="C983" s="982"/>
    </row>
    <row r="984" spans="1:3">
      <c r="A984" s="982"/>
      <c r="B984" s="982"/>
      <c r="C984" s="982"/>
    </row>
    <row r="985" spans="1:3">
      <c r="A985" s="982"/>
      <c r="B985" s="982"/>
      <c r="C985" s="982"/>
    </row>
    <row r="986" spans="1:3">
      <c r="A986" s="982"/>
      <c r="B986" s="982"/>
      <c r="C986" s="982"/>
    </row>
    <row r="987" spans="1:3">
      <c r="A987" s="982"/>
      <c r="B987" s="982"/>
      <c r="C987" s="982"/>
    </row>
    <row r="988" spans="1:3">
      <c r="A988" s="982"/>
      <c r="B988" s="982"/>
      <c r="C988" s="982"/>
    </row>
    <row r="989" spans="1:3">
      <c r="A989" s="982"/>
      <c r="B989" s="982"/>
      <c r="C989" s="982"/>
    </row>
    <row r="990" spans="1:3">
      <c r="A990" s="982"/>
      <c r="B990" s="982"/>
      <c r="C990" s="982"/>
    </row>
    <row r="991" spans="1:3">
      <c r="A991" s="982"/>
      <c r="B991" s="982"/>
      <c r="C991" s="982"/>
    </row>
    <row r="992" spans="1:3">
      <c r="A992" s="982"/>
      <c r="B992" s="982"/>
      <c r="C992" s="982"/>
    </row>
    <row r="993" spans="1:3">
      <c r="A993" s="982"/>
      <c r="B993" s="982"/>
      <c r="C993" s="982"/>
    </row>
    <row r="994" spans="1:3">
      <c r="A994" s="982"/>
      <c r="B994" s="982"/>
      <c r="C994" s="982"/>
    </row>
    <row r="995" spans="1:3">
      <c r="A995" s="982"/>
      <c r="B995" s="982"/>
      <c r="C995" s="982"/>
    </row>
    <row r="996" spans="1:3">
      <c r="A996" s="982"/>
      <c r="B996" s="982"/>
      <c r="C996" s="982"/>
    </row>
    <row r="997" spans="1:3">
      <c r="A997" s="982"/>
      <c r="B997" s="982"/>
      <c r="C997" s="982"/>
    </row>
    <row r="998" spans="1:3">
      <c r="A998" s="982"/>
      <c r="B998" s="982"/>
      <c r="C998" s="982"/>
    </row>
    <row r="999" spans="1:3">
      <c r="A999" s="982"/>
      <c r="B999" s="982"/>
      <c r="C999" s="982"/>
    </row>
    <row r="1000" spans="1:3">
      <c r="A1000" s="982"/>
      <c r="B1000" s="982"/>
      <c r="C1000" s="982"/>
    </row>
    <row r="1001" spans="1:3">
      <c r="A1001" s="982"/>
      <c r="B1001" s="982"/>
      <c r="C1001" s="982"/>
    </row>
    <row r="1002" spans="1:3">
      <c r="A1002" s="982"/>
      <c r="B1002" s="982"/>
      <c r="C1002" s="982"/>
    </row>
    <row r="1003" spans="1:3">
      <c r="A1003" s="982"/>
      <c r="B1003" s="982"/>
      <c r="C1003" s="982"/>
    </row>
    <row r="1004" spans="1:3">
      <c r="A1004" s="982"/>
      <c r="B1004" s="982"/>
      <c r="C1004" s="982"/>
    </row>
    <row r="1005" spans="1:3">
      <c r="A1005" s="982"/>
      <c r="B1005" s="982"/>
      <c r="C1005" s="982"/>
    </row>
    <row r="1006" spans="1:3">
      <c r="A1006" s="982"/>
      <c r="B1006" s="982"/>
      <c r="C1006" s="982"/>
    </row>
    <row r="1007" spans="1:3">
      <c r="A1007" s="982"/>
      <c r="B1007" s="982"/>
      <c r="C1007" s="982"/>
    </row>
    <row r="1008" spans="1:3">
      <c r="A1008" s="982"/>
      <c r="B1008" s="982"/>
      <c r="C1008" s="982"/>
    </row>
    <row r="1009" spans="1:3">
      <c r="A1009" s="982"/>
      <c r="B1009" s="982"/>
      <c r="C1009" s="982"/>
    </row>
    <row r="1010" spans="1:3">
      <c r="A1010" s="982"/>
      <c r="B1010" s="982"/>
      <c r="C1010" s="982"/>
    </row>
    <row r="1011" spans="1:3">
      <c r="A1011" s="982"/>
      <c r="B1011" s="982"/>
      <c r="C1011" s="982"/>
    </row>
    <row r="1012" spans="1:3">
      <c r="A1012" s="982"/>
      <c r="B1012" s="982"/>
      <c r="C1012" s="982"/>
    </row>
    <row r="1013" spans="1:3">
      <c r="A1013" s="982"/>
      <c r="B1013" s="982"/>
      <c r="C1013" s="982"/>
    </row>
    <row r="1014" spans="1:3">
      <c r="A1014" s="982"/>
      <c r="B1014" s="982"/>
      <c r="C1014" s="982"/>
    </row>
    <row r="1015" spans="1:3">
      <c r="A1015" s="982"/>
      <c r="B1015" s="982"/>
      <c r="C1015" s="982"/>
    </row>
    <row r="1016" spans="1:3">
      <c r="A1016" s="982"/>
      <c r="B1016" s="982"/>
      <c r="C1016" s="982"/>
    </row>
    <row r="1017" spans="1:3">
      <c r="A1017" s="982"/>
      <c r="B1017" s="982"/>
      <c r="C1017" s="982"/>
    </row>
    <row r="1018" spans="1:3">
      <c r="A1018" s="982"/>
      <c r="B1018" s="982"/>
      <c r="C1018" s="982"/>
    </row>
    <row r="1019" spans="1:3">
      <c r="A1019" s="982"/>
      <c r="B1019" s="982"/>
      <c r="C1019" s="982"/>
    </row>
    <row r="1020" spans="1:3">
      <c r="A1020" s="982"/>
      <c r="B1020" s="982"/>
      <c r="C1020" s="982"/>
    </row>
    <row r="1021" spans="1:3">
      <c r="A1021" s="982"/>
      <c r="B1021" s="982"/>
      <c r="C1021" s="982"/>
    </row>
    <row r="1022" spans="1:3">
      <c r="A1022" s="982"/>
      <c r="B1022" s="982"/>
      <c r="C1022" s="982"/>
    </row>
    <row r="1023" spans="1:3">
      <c r="A1023" s="982"/>
      <c r="B1023" s="982"/>
      <c r="C1023" s="982"/>
    </row>
    <row r="1024" spans="1:3">
      <c r="A1024" s="982"/>
      <c r="B1024" s="982"/>
      <c r="C1024" s="982"/>
    </row>
    <row r="1025" spans="1:3">
      <c r="A1025" s="982"/>
      <c r="B1025" s="982"/>
      <c r="C1025" s="982"/>
    </row>
    <row r="1026" spans="1:3">
      <c r="A1026" s="982"/>
      <c r="B1026" s="982"/>
      <c r="C1026" s="982"/>
    </row>
    <row r="1027" spans="1:3">
      <c r="A1027" s="982"/>
      <c r="B1027" s="982"/>
      <c r="C1027" s="982"/>
    </row>
    <row r="1028" spans="1:3">
      <c r="A1028" s="982"/>
      <c r="B1028" s="982"/>
      <c r="C1028" s="982"/>
    </row>
    <row r="1029" spans="1:3">
      <c r="A1029" s="982"/>
      <c r="B1029" s="982"/>
      <c r="C1029" s="982"/>
    </row>
    <row r="1030" spans="1:3">
      <c r="A1030" s="982"/>
      <c r="B1030" s="982"/>
      <c r="C1030" s="982"/>
    </row>
    <row r="1031" spans="1:3">
      <c r="A1031" s="982"/>
      <c r="B1031" s="982"/>
      <c r="C1031" s="982"/>
    </row>
    <row r="1032" spans="1:3">
      <c r="A1032" s="982"/>
      <c r="B1032" s="982"/>
      <c r="C1032" s="982"/>
    </row>
    <row r="1033" spans="1:3">
      <c r="A1033" s="982"/>
      <c r="B1033" s="982"/>
      <c r="C1033" s="982"/>
    </row>
    <row r="1034" spans="1:3">
      <c r="A1034" s="982"/>
      <c r="B1034" s="982"/>
      <c r="C1034" s="982"/>
    </row>
    <row r="1035" spans="1:3">
      <c r="A1035" s="982"/>
      <c r="B1035" s="982"/>
      <c r="C1035" s="982"/>
    </row>
    <row r="1036" spans="1:3">
      <c r="A1036" s="982"/>
      <c r="B1036" s="982"/>
      <c r="C1036" s="982"/>
    </row>
    <row r="1037" spans="1:3">
      <c r="A1037" s="982"/>
      <c r="B1037" s="982"/>
      <c r="C1037" s="982"/>
    </row>
    <row r="1038" spans="1:3">
      <c r="A1038" s="982"/>
      <c r="B1038" s="982"/>
      <c r="C1038" s="982"/>
    </row>
    <row r="1039" spans="1:3">
      <c r="A1039" s="982"/>
      <c r="B1039" s="982"/>
      <c r="C1039" s="982"/>
    </row>
    <row r="1040" spans="1:3">
      <c r="A1040" s="982"/>
      <c r="B1040" s="982"/>
      <c r="C1040" s="982"/>
    </row>
    <row r="1041" spans="1:3">
      <c r="A1041" s="982"/>
      <c r="B1041" s="982"/>
      <c r="C1041" s="982"/>
    </row>
    <row r="1042" spans="1:3">
      <c r="A1042" s="982"/>
      <c r="B1042" s="982"/>
      <c r="C1042" s="982"/>
    </row>
    <row r="1043" spans="1:3">
      <c r="A1043" s="982"/>
      <c r="B1043" s="982"/>
      <c r="C1043" s="982"/>
    </row>
    <row r="1044" spans="1:3">
      <c r="A1044" s="982"/>
      <c r="B1044" s="982"/>
      <c r="C1044" s="982"/>
    </row>
    <row r="1045" spans="1:3">
      <c r="A1045" s="982"/>
      <c r="B1045" s="982"/>
      <c r="C1045" s="982"/>
    </row>
    <row r="1046" spans="1:3">
      <c r="A1046" s="982"/>
      <c r="B1046" s="982"/>
      <c r="C1046" s="982"/>
    </row>
    <row r="1047" spans="1:3">
      <c r="A1047" s="982"/>
      <c r="B1047" s="982"/>
      <c r="C1047" s="982"/>
    </row>
    <row r="1048" spans="1:3">
      <c r="A1048" s="982"/>
      <c r="B1048" s="982"/>
      <c r="C1048" s="982"/>
    </row>
    <row r="1049" spans="1:3">
      <c r="A1049" s="982"/>
      <c r="B1049" s="982"/>
      <c r="C1049" s="982"/>
    </row>
    <row r="1050" spans="1:3">
      <c r="A1050" s="982"/>
      <c r="B1050" s="982"/>
      <c r="C1050" s="982"/>
    </row>
    <row r="1051" spans="1:3">
      <c r="A1051" s="982"/>
      <c r="B1051" s="982"/>
      <c r="C1051" s="982"/>
    </row>
    <row r="1052" spans="1:3">
      <c r="A1052" s="982"/>
      <c r="B1052" s="982"/>
      <c r="C1052" s="982"/>
    </row>
    <row r="1053" spans="1:3">
      <c r="A1053" s="982"/>
      <c r="B1053" s="982"/>
      <c r="C1053" s="982"/>
    </row>
    <row r="1054" spans="1:3">
      <c r="A1054" s="982"/>
      <c r="B1054" s="982"/>
      <c r="C1054" s="982"/>
    </row>
    <row r="1055" spans="1:3">
      <c r="A1055" s="982"/>
      <c r="B1055" s="982"/>
      <c r="C1055" s="982"/>
    </row>
    <row r="1056" spans="1:3">
      <c r="A1056" s="982"/>
      <c r="B1056" s="982"/>
      <c r="C1056" s="982"/>
    </row>
    <row r="1057" spans="1:3">
      <c r="A1057" s="982"/>
      <c r="B1057" s="982"/>
      <c r="C1057" s="982"/>
    </row>
    <row r="1058" spans="1:3">
      <c r="A1058" s="982"/>
      <c r="B1058" s="982"/>
      <c r="C1058" s="982"/>
    </row>
    <row r="1059" spans="1:3">
      <c r="A1059" s="982"/>
      <c r="B1059" s="982"/>
      <c r="C1059" s="982"/>
    </row>
    <row r="1060" spans="1:3">
      <c r="A1060" s="982"/>
      <c r="B1060" s="982"/>
      <c r="C1060" s="982"/>
    </row>
    <row r="1061" spans="1:3">
      <c r="A1061" s="982"/>
      <c r="B1061" s="982"/>
      <c r="C1061" s="982"/>
    </row>
    <row r="1062" spans="1:3">
      <c r="A1062" s="982"/>
      <c r="B1062" s="982"/>
      <c r="C1062" s="982"/>
    </row>
    <row r="1063" spans="1:3">
      <c r="A1063" s="982"/>
      <c r="B1063" s="982"/>
      <c r="C1063" s="982"/>
    </row>
    <row r="1064" spans="1:3">
      <c r="A1064" s="982"/>
      <c r="B1064" s="982"/>
      <c r="C1064" s="982"/>
    </row>
    <row r="1065" spans="1:3">
      <c r="A1065" s="982"/>
      <c r="B1065" s="982"/>
      <c r="C1065" s="982"/>
    </row>
    <row r="1066" spans="1:3">
      <c r="A1066" s="982"/>
      <c r="B1066" s="982"/>
      <c r="C1066" s="982"/>
    </row>
    <row r="1067" spans="1:3">
      <c r="A1067" s="982"/>
      <c r="B1067" s="982"/>
      <c r="C1067" s="982"/>
    </row>
    <row r="1068" spans="1:3">
      <c r="A1068" s="982"/>
      <c r="B1068" s="982"/>
      <c r="C1068" s="982"/>
    </row>
    <row r="1069" spans="1:3">
      <c r="A1069" s="982"/>
      <c r="B1069" s="982"/>
      <c r="C1069" s="982"/>
    </row>
    <row r="1070" spans="1:3">
      <c r="A1070" s="982"/>
      <c r="B1070" s="982"/>
      <c r="C1070" s="982"/>
    </row>
    <row r="1071" spans="1:3">
      <c r="A1071" s="982"/>
      <c r="B1071" s="982"/>
      <c r="C1071" s="982"/>
    </row>
    <row r="1072" spans="1:3">
      <c r="A1072" s="982"/>
      <c r="B1072" s="982"/>
      <c r="C1072" s="982"/>
    </row>
    <row r="1073" spans="1:3">
      <c r="A1073" s="982"/>
      <c r="B1073" s="982"/>
      <c r="C1073" s="982"/>
    </row>
    <row r="1074" spans="1:3">
      <c r="A1074" s="982"/>
      <c r="B1074" s="982"/>
      <c r="C1074" s="982"/>
    </row>
    <row r="1075" spans="1:3">
      <c r="A1075" s="982"/>
      <c r="B1075" s="982"/>
      <c r="C1075" s="982"/>
    </row>
    <row r="1076" spans="1:3">
      <c r="A1076" s="982"/>
      <c r="B1076" s="982"/>
      <c r="C1076" s="982"/>
    </row>
    <row r="1077" spans="1:3">
      <c r="A1077" s="982"/>
      <c r="B1077" s="982"/>
      <c r="C1077" s="982"/>
    </row>
    <row r="1078" spans="1:3">
      <c r="A1078" s="982"/>
      <c r="B1078" s="982"/>
      <c r="C1078" s="982"/>
    </row>
    <row r="1079" spans="1:3">
      <c r="A1079" s="982"/>
      <c r="B1079" s="982"/>
      <c r="C1079" s="982"/>
    </row>
    <row r="1080" spans="1:3">
      <c r="A1080" s="982"/>
      <c r="B1080" s="982"/>
      <c r="C1080" s="982"/>
    </row>
    <row r="1081" spans="1:3">
      <c r="A1081" s="982"/>
      <c r="B1081" s="982"/>
      <c r="C1081" s="982"/>
    </row>
    <row r="1082" spans="1:3">
      <c r="A1082" s="982"/>
      <c r="B1082" s="982"/>
      <c r="C1082" s="982"/>
    </row>
    <row r="1083" spans="1:3">
      <c r="A1083" s="982"/>
      <c r="B1083" s="982"/>
      <c r="C1083" s="982"/>
    </row>
    <row r="1084" spans="1:3">
      <c r="A1084" s="982"/>
      <c r="B1084" s="982"/>
      <c r="C1084" s="982"/>
    </row>
    <row r="1085" spans="1:3">
      <c r="A1085" s="982"/>
      <c r="B1085" s="982"/>
      <c r="C1085" s="982"/>
    </row>
    <row r="1086" spans="1:3">
      <c r="A1086" s="982"/>
      <c r="B1086" s="982"/>
      <c r="C1086" s="982"/>
    </row>
    <row r="1087" spans="1:3">
      <c r="A1087" s="982"/>
      <c r="B1087" s="982"/>
      <c r="C1087" s="982"/>
    </row>
    <row r="1088" spans="1:3">
      <c r="A1088" s="982"/>
      <c r="B1088" s="982"/>
      <c r="C1088" s="982"/>
    </row>
    <row r="1089" spans="1:3">
      <c r="A1089" s="982"/>
      <c r="B1089" s="982"/>
      <c r="C1089" s="982"/>
    </row>
    <row r="1090" spans="1:3">
      <c r="A1090" s="982"/>
      <c r="B1090" s="982"/>
      <c r="C1090" s="982"/>
    </row>
    <row r="1091" spans="1:3">
      <c r="A1091" s="982"/>
      <c r="B1091" s="982"/>
      <c r="C1091" s="982"/>
    </row>
    <row r="1092" spans="1:3">
      <c r="A1092" s="982"/>
      <c r="B1092" s="982"/>
      <c r="C1092" s="982"/>
    </row>
    <row r="1093" spans="1:3">
      <c r="A1093" s="982"/>
      <c r="B1093" s="982"/>
      <c r="C1093" s="982"/>
    </row>
    <row r="1094" spans="1:3">
      <c r="A1094" s="982"/>
      <c r="B1094" s="982"/>
      <c r="C1094" s="982"/>
    </row>
    <row r="1095" spans="1:3">
      <c r="A1095" s="982"/>
      <c r="B1095" s="982"/>
      <c r="C1095" s="982"/>
    </row>
    <row r="1096" spans="1:3">
      <c r="A1096" s="982"/>
      <c r="B1096" s="982"/>
      <c r="C1096" s="982"/>
    </row>
    <row r="1097" spans="1:3">
      <c r="A1097" s="982"/>
      <c r="B1097" s="982"/>
      <c r="C1097" s="982"/>
    </row>
    <row r="1098" spans="1:3">
      <c r="A1098" s="982"/>
      <c r="B1098" s="982"/>
      <c r="C1098" s="982"/>
    </row>
    <row r="1099" spans="1:3">
      <c r="A1099" s="982"/>
      <c r="B1099" s="982"/>
      <c r="C1099" s="982"/>
    </row>
    <row r="1100" spans="1:3">
      <c r="A1100" s="982"/>
      <c r="B1100" s="982"/>
      <c r="C1100" s="982"/>
    </row>
    <row r="1101" spans="1:3">
      <c r="A1101" s="982"/>
      <c r="B1101" s="982"/>
      <c r="C1101" s="982"/>
    </row>
    <row r="1102" spans="1:3">
      <c r="A1102" s="982"/>
      <c r="B1102" s="982"/>
      <c r="C1102" s="982"/>
    </row>
    <row r="1103" spans="1:3">
      <c r="A1103" s="982"/>
      <c r="B1103" s="982"/>
      <c r="C1103" s="982"/>
    </row>
    <row r="1104" spans="1:3">
      <c r="A1104" s="982"/>
      <c r="B1104" s="982"/>
      <c r="C1104" s="982"/>
    </row>
    <row r="1105" spans="1:3">
      <c r="A1105" s="982"/>
      <c r="B1105" s="982"/>
      <c r="C1105" s="982"/>
    </row>
    <row r="1106" spans="1:3">
      <c r="A1106" s="982"/>
      <c r="B1106" s="982"/>
      <c r="C1106" s="982"/>
    </row>
    <row r="1107" spans="1:3">
      <c r="A1107" s="982"/>
      <c r="B1107" s="982"/>
      <c r="C1107" s="982"/>
    </row>
    <row r="1108" spans="1:3">
      <c r="A1108" s="982"/>
      <c r="B1108" s="982"/>
      <c r="C1108" s="982"/>
    </row>
    <row r="1109" spans="1:3">
      <c r="A1109" s="982"/>
      <c r="B1109" s="982"/>
      <c r="C1109" s="982"/>
    </row>
    <row r="1110" spans="1:3">
      <c r="A1110" s="982"/>
      <c r="B1110" s="982"/>
      <c r="C1110" s="982"/>
    </row>
    <row r="1111" spans="1:3">
      <c r="A1111" s="982"/>
      <c r="B1111" s="982"/>
      <c r="C1111" s="982"/>
    </row>
    <row r="1112" spans="1:3">
      <c r="A1112" s="982"/>
      <c r="B1112" s="982"/>
      <c r="C1112" s="982"/>
    </row>
    <row r="1113" spans="1:3">
      <c r="A1113" s="982"/>
      <c r="B1113" s="982"/>
      <c r="C1113" s="982"/>
    </row>
    <row r="1114" spans="1:3">
      <c r="A1114" s="982"/>
      <c r="B1114" s="982"/>
      <c r="C1114" s="982"/>
    </row>
    <row r="1115" spans="1:3">
      <c r="A1115" s="982"/>
      <c r="B1115" s="982"/>
      <c r="C1115" s="982"/>
    </row>
    <row r="1116" spans="1:3">
      <c r="A1116" s="982"/>
      <c r="B1116" s="982"/>
      <c r="C1116" s="982"/>
    </row>
    <row r="1117" spans="1:3">
      <c r="A1117" s="982"/>
      <c r="B1117" s="982"/>
      <c r="C1117" s="982"/>
    </row>
    <row r="1118" spans="1:3">
      <c r="A1118" s="982"/>
      <c r="B1118" s="982"/>
      <c r="C1118" s="982"/>
    </row>
  </sheetData>
  <mergeCells count="5">
    <mergeCell ref="C35:J35"/>
    <mergeCell ref="C30:J30"/>
    <mergeCell ref="C3:J3"/>
    <mergeCell ref="C2:J2"/>
    <mergeCell ref="C4:J4"/>
  </mergeCells>
  <pageMargins left="0.47" right="0.25" top="0.5" bottom="0.39" header="0.79" footer="0.3"/>
  <pageSetup paperSize="5" scale="46" orientation="portrait" r:id="rId1"/>
</worksheet>
</file>

<file path=xl/worksheets/sheet17.xml><?xml version="1.0" encoding="utf-8"?>
<worksheet xmlns="http://schemas.openxmlformats.org/spreadsheetml/2006/main" xmlns:r="http://schemas.openxmlformats.org/officeDocument/2006/relationships">
  <dimension ref="B1:N39"/>
  <sheetViews>
    <sheetView tabSelected="1" workbookViewId="0">
      <selection activeCell="L5" sqref="L5"/>
    </sheetView>
  </sheetViews>
  <sheetFormatPr defaultColWidth="9.140625" defaultRowHeight="14.25"/>
  <cols>
    <col min="1" max="2" width="9.140625" style="763"/>
    <col min="3" max="3" width="21" style="1287" customWidth="1"/>
    <col min="4" max="4" width="38.28515625" style="763" customWidth="1"/>
    <col min="5" max="5" width="21.42578125" style="763" customWidth="1"/>
    <col min="6" max="6" width="17.42578125" style="763" customWidth="1"/>
    <col min="7" max="7" width="14" style="763" customWidth="1"/>
    <col min="8" max="8" width="20" style="763" customWidth="1"/>
    <col min="9" max="9" width="9.140625" style="994"/>
    <col min="10" max="16384" width="9.140625" style="763"/>
  </cols>
  <sheetData>
    <row r="1" spans="2:14" ht="15" thickBot="1"/>
    <row r="2" spans="2:14" ht="19.5" customHeight="1">
      <c r="B2" s="1524" t="s">
        <v>3818</v>
      </c>
      <c r="C2" s="1525"/>
      <c r="D2" s="1525"/>
      <c r="E2" s="1525"/>
      <c r="F2" s="1525"/>
      <c r="G2" s="1525"/>
      <c r="H2" s="1526"/>
    </row>
    <row r="3" spans="2:14" ht="18.75" customHeight="1">
      <c r="B3" s="1521" t="s">
        <v>3819</v>
      </c>
      <c r="C3" s="1522"/>
      <c r="D3" s="1522"/>
      <c r="E3" s="1522"/>
      <c r="F3" s="1522"/>
      <c r="G3" s="1522"/>
      <c r="H3" s="1523"/>
    </row>
    <row r="4" spans="2:14" ht="24" customHeight="1">
      <c r="B4" s="1521" t="s">
        <v>3820</v>
      </c>
      <c r="C4" s="1522"/>
      <c r="D4" s="1522"/>
      <c r="E4" s="1522"/>
      <c r="F4" s="1522"/>
      <c r="G4" s="1522"/>
      <c r="H4" s="1523"/>
    </row>
    <row r="5" spans="2:14" ht="63" customHeight="1">
      <c r="B5" s="1011" t="s">
        <v>2868</v>
      </c>
      <c r="C5" s="985" t="s">
        <v>2912</v>
      </c>
      <c r="D5" s="985" t="s">
        <v>2408</v>
      </c>
      <c r="E5" s="986" t="s">
        <v>2913</v>
      </c>
      <c r="F5" s="986" t="s">
        <v>3483</v>
      </c>
      <c r="G5" s="986" t="s">
        <v>3816</v>
      </c>
      <c r="H5" s="1043" t="s">
        <v>2959</v>
      </c>
      <c r="M5" s="1268"/>
      <c r="N5" s="1268"/>
    </row>
    <row r="6" spans="2:14" ht="60.75" customHeight="1">
      <c r="B6" s="1406">
        <v>1</v>
      </c>
      <c r="C6" s="1408" t="s">
        <v>3317</v>
      </c>
      <c r="D6" s="1409" t="s">
        <v>3347</v>
      </c>
      <c r="E6" s="1415">
        <v>2113772.65</v>
      </c>
      <c r="F6" s="1269">
        <v>0</v>
      </c>
      <c r="G6" s="1269">
        <v>0</v>
      </c>
      <c r="H6" s="1407">
        <f>+E6</f>
        <v>2113772.65</v>
      </c>
      <c r="M6" s="1268"/>
      <c r="N6" s="1268"/>
    </row>
    <row r="7" spans="2:14" ht="60.75" customHeight="1">
      <c r="B7" s="1406">
        <v>2</v>
      </c>
      <c r="C7" s="1408" t="s">
        <v>3318</v>
      </c>
      <c r="D7" s="1409" t="s">
        <v>3348</v>
      </c>
      <c r="E7" s="1415">
        <v>557788</v>
      </c>
      <c r="F7" s="1269">
        <v>0</v>
      </c>
      <c r="G7" s="1269">
        <v>0</v>
      </c>
      <c r="H7" s="1407">
        <f t="shared" ref="H7:H36" si="0">+E7</f>
        <v>557788</v>
      </c>
      <c r="M7" s="1268"/>
      <c r="N7" s="1268"/>
    </row>
    <row r="8" spans="2:14" ht="60.75" customHeight="1">
      <c r="B8" s="1406">
        <v>3</v>
      </c>
      <c r="C8" s="1408" t="s">
        <v>3319</v>
      </c>
      <c r="D8" s="1409" t="s">
        <v>3349</v>
      </c>
      <c r="E8" s="1415">
        <v>30892</v>
      </c>
      <c r="F8" s="1269">
        <v>0</v>
      </c>
      <c r="G8" s="1269">
        <v>0</v>
      </c>
      <c r="H8" s="1407">
        <f t="shared" si="0"/>
        <v>30892</v>
      </c>
      <c r="M8" s="1268"/>
      <c r="N8" s="1268"/>
    </row>
    <row r="9" spans="2:14" ht="60.75" customHeight="1">
      <c r="B9" s="1406">
        <v>4</v>
      </c>
      <c r="C9" s="1408" t="s">
        <v>3320</v>
      </c>
      <c r="D9" s="1409" t="s">
        <v>3350</v>
      </c>
      <c r="E9" s="1415">
        <v>168862</v>
      </c>
      <c r="F9" s="1269">
        <v>0</v>
      </c>
      <c r="G9" s="1269">
        <v>0</v>
      </c>
      <c r="H9" s="1407">
        <f t="shared" si="0"/>
        <v>168862</v>
      </c>
      <c r="M9" s="1268"/>
      <c r="N9" s="1268"/>
    </row>
    <row r="10" spans="2:14" ht="60.75" customHeight="1">
      <c r="B10" s="1406">
        <v>5</v>
      </c>
      <c r="C10" s="1408" t="s">
        <v>3321</v>
      </c>
      <c r="D10" s="1409" t="s">
        <v>3351</v>
      </c>
      <c r="E10" s="1415">
        <v>304500</v>
      </c>
      <c r="F10" s="1269">
        <v>0</v>
      </c>
      <c r="G10" s="1269">
        <v>0</v>
      </c>
      <c r="H10" s="1407">
        <f t="shared" si="0"/>
        <v>304500</v>
      </c>
      <c r="M10" s="1268"/>
      <c r="N10" s="1268"/>
    </row>
    <row r="11" spans="2:14" ht="60.75" customHeight="1">
      <c r="B11" s="1406">
        <v>6</v>
      </c>
      <c r="C11" s="1408" t="s">
        <v>3322</v>
      </c>
      <c r="D11" s="1409" t="s">
        <v>3352</v>
      </c>
      <c r="E11" s="1415">
        <v>111982</v>
      </c>
      <c r="F11" s="1269">
        <v>0</v>
      </c>
      <c r="G11" s="1269">
        <v>0</v>
      </c>
      <c r="H11" s="1407">
        <f t="shared" si="0"/>
        <v>111982</v>
      </c>
      <c r="M11" s="1268"/>
      <c r="N11" s="1268"/>
    </row>
    <row r="12" spans="2:14" ht="60.75" customHeight="1">
      <c r="B12" s="1406">
        <v>7</v>
      </c>
      <c r="C12" s="1408" t="s">
        <v>3323</v>
      </c>
      <c r="D12" s="1409" t="s">
        <v>3353</v>
      </c>
      <c r="E12" s="1415">
        <v>519481</v>
      </c>
      <c r="F12" s="1269">
        <v>0</v>
      </c>
      <c r="G12" s="1269">
        <v>0</v>
      </c>
      <c r="H12" s="1407">
        <f t="shared" si="0"/>
        <v>519481</v>
      </c>
      <c r="M12" s="1268"/>
      <c r="N12" s="1268"/>
    </row>
    <row r="13" spans="2:14" ht="60.75" customHeight="1">
      <c r="B13" s="1406">
        <v>8</v>
      </c>
      <c r="C13" s="1408" t="s">
        <v>3286</v>
      </c>
      <c r="D13" s="1409" t="s">
        <v>3354</v>
      </c>
      <c r="E13" s="1415">
        <v>1612922</v>
      </c>
      <c r="F13" s="1269">
        <v>0</v>
      </c>
      <c r="G13" s="1269">
        <v>0</v>
      </c>
      <c r="H13" s="1407">
        <f t="shared" si="0"/>
        <v>1612922</v>
      </c>
      <c r="M13" s="1268"/>
      <c r="N13" s="1268"/>
    </row>
    <row r="14" spans="2:14" ht="60.75" customHeight="1">
      <c r="B14" s="1406">
        <v>9</v>
      </c>
      <c r="C14" s="1408" t="s">
        <v>3324</v>
      </c>
      <c r="D14" s="1409" t="s">
        <v>3355</v>
      </c>
      <c r="E14" s="1415">
        <v>836464</v>
      </c>
      <c r="F14" s="1269">
        <v>0</v>
      </c>
      <c r="G14" s="1269">
        <v>0</v>
      </c>
      <c r="H14" s="1407">
        <f t="shared" si="0"/>
        <v>836464</v>
      </c>
      <c r="M14" s="1268"/>
      <c r="N14" s="1268"/>
    </row>
    <row r="15" spans="2:14" ht="60.75" customHeight="1">
      <c r="B15" s="1406">
        <v>10</v>
      </c>
      <c r="C15" s="1408" t="s">
        <v>3325</v>
      </c>
      <c r="D15" s="1409" t="s">
        <v>3356</v>
      </c>
      <c r="E15" s="1415">
        <v>231094</v>
      </c>
      <c r="F15" s="1269">
        <v>0</v>
      </c>
      <c r="G15" s="1269">
        <v>0</v>
      </c>
      <c r="H15" s="1407">
        <f t="shared" si="0"/>
        <v>231094</v>
      </c>
      <c r="M15" s="1268"/>
      <c r="N15" s="1268"/>
    </row>
    <row r="16" spans="2:14" ht="60.75" customHeight="1">
      <c r="B16" s="1406">
        <v>11</v>
      </c>
      <c r="C16" s="1408" t="s">
        <v>3326</v>
      </c>
      <c r="D16" s="1409" t="s">
        <v>3357</v>
      </c>
      <c r="E16" s="1415">
        <v>259565</v>
      </c>
      <c r="F16" s="1269">
        <v>0</v>
      </c>
      <c r="G16" s="1269">
        <v>0</v>
      </c>
      <c r="H16" s="1407">
        <f t="shared" si="0"/>
        <v>259565</v>
      </c>
      <c r="M16" s="1268"/>
      <c r="N16" s="1268"/>
    </row>
    <row r="17" spans="2:14" ht="60.75" customHeight="1">
      <c r="B17" s="1406">
        <v>12</v>
      </c>
      <c r="C17" s="1408" t="s">
        <v>3327</v>
      </c>
      <c r="D17" s="1409" t="s">
        <v>3358</v>
      </c>
      <c r="E17" s="1415">
        <v>53590</v>
      </c>
      <c r="F17" s="1269">
        <v>0</v>
      </c>
      <c r="G17" s="1269">
        <v>0</v>
      </c>
      <c r="H17" s="1407">
        <f t="shared" si="0"/>
        <v>53590</v>
      </c>
      <c r="M17" s="1268"/>
      <c r="N17" s="1268"/>
    </row>
    <row r="18" spans="2:14" ht="53.25" customHeight="1">
      <c r="B18" s="1406">
        <v>13</v>
      </c>
      <c r="C18" s="1408" t="s">
        <v>3328</v>
      </c>
      <c r="D18" s="1409" t="s">
        <v>3359</v>
      </c>
      <c r="E18" s="1415">
        <v>1187633.56</v>
      </c>
      <c r="F18" s="1269">
        <v>0</v>
      </c>
      <c r="G18" s="1269">
        <v>0</v>
      </c>
      <c r="H18" s="1407">
        <f t="shared" si="0"/>
        <v>1187633.56</v>
      </c>
      <c r="M18" s="1268"/>
      <c r="N18" s="1268"/>
    </row>
    <row r="19" spans="2:14" ht="53.25" customHeight="1">
      <c r="B19" s="1406">
        <v>14</v>
      </c>
      <c r="C19" s="1408" t="s">
        <v>3329</v>
      </c>
      <c r="D19" s="1409" t="s">
        <v>3360</v>
      </c>
      <c r="E19" s="1415">
        <v>437056</v>
      </c>
      <c r="F19" s="1269">
        <v>0</v>
      </c>
      <c r="G19" s="1269">
        <v>0</v>
      </c>
      <c r="H19" s="1407">
        <f t="shared" si="0"/>
        <v>437056</v>
      </c>
      <c r="M19" s="1268"/>
      <c r="N19" s="1268"/>
    </row>
    <row r="20" spans="2:14" ht="53.25" customHeight="1">
      <c r="B20" s="1406">
        <v>15</v>
      </c>
      <c r="C20" s="1408" t="s">
        <v>3330</v>
      </c>
      <c r="D20" s="1409" t="s">
        <v>3361</v>
      </c>
      <c r="E20" s="1415">
        <v>117497.22</v>
      </c>
      <c r="F20" s="1269">
        <v>0</v>
      </c>
      <c r="G20" s="1269">
        <v>0</v>
      </c>
      <c r="H20" s="1407">
        <f t="shared" si="0"/>
        <v>117497.22</v>
      </c>
      <c r="M20" s="1268"/>
      <c r="N20" s="1268"/>
    </row>
    <row r="21" spans="2:14" ht="53.25" customHeight="1">
      <c r="B21" s="1406">
        <v>16</v>
      </c>
      <c r="C21" s="1408" t="s">
        <v>3331</v>
      </c>
      <c r="D21" s="1409" t="s">
        <v>3362</v>
      </c>
      <c r="E21" s="1415">
        <v>35292</v>
      </c>
      <c r="F21" s="1269">
        <v>0</v>
      </c>
      <c r="G21" s="1269">
        <v>0</v>
      </c>
      <c r="H21" s="1407">
        <f t="shared" si="0"/>
        <v>35292</v>
      </c>
      <c r="M21" s="1268"/>
      <c r="N21" s="1268"/>
    </row>
    <row r="22" spans="2:14" ht="53.25" customHeight="1">
      <c r="B22" s="1406">
        <v>17</v>
      </c>
      <c r="C22" s="1408" t="s">
        <v>3332</v>
      </c>
      <c r="D22" s="1409" t="s">
        <v>3363</v>
      </c>
      <c r="E22" s="1415">
        <v>651660</v>
      </c>
      <c r="F22" s="1269">
        <v>0</v>
      </c>
      <c r="G22" s="1269">
        <v>0</v>
      </c>
      <c r="H22" s="1407">
        <f t="shared" si="0"/>
        <v>651660</v>
      </c>
      <c r="M22" s="1268"/>
      <c r="N22" s="1268"/>
    </row>
    <row r="23" spans="2:14" ht="53.25" customHeight="1">
      <c r="B23" s="1406">
        <v>18</v>
      </c>
      <c r="C23" s="1408" t="s">
        <v>3333</v>
      </c>
      <c r="D23" s="1409" t="s">
        <v>3364</v>
      </c>
      <c r="E23" s="1415">
        <v>319602</v>
      </c>
      <c r="F23" s="1269">
        <v>0</v>
      </c>
      <c r="G23" s="1269">
        <v>0</v>
      </c>
      <c r="H23" s="1407">
        <f t="shared" si="0"/>
        <v>319602</v>
      </c>
      <c r="M23" s="1268"/>
      <c r="N23" s="1268"/>
    </row>
    <row r="24" spans="2:14" ht="53.25" customHeight="1">
      <c r="B24" s="1406">
        <v>19</v>
      </c>
      <c r="C24" s="1408" t="s">
        <v>3334</v>
      </c>
      <c r="D24" s="1409" t="s">
        <v>3365</v>
      </c>
      <c r="E24" s="1415">
        <v>1808804</v>
      </c>
      <c r="F24" s="1269">
        <v>0</v>
      </c>
      <c r="G24" s="1269">
        <v>0</v>
      </c>
      <c r="H24" s="1407">
        <f t="shared" si="0"/>
        <v>1808804</v>
      </c>
      <c r="M24" s="1268"/>
      <c r="N24" s="1268"/>
    </row>
    <row r="25" spans="2:14" ht="53.25" customHeight="1">
      <c r="B25" s="1406">
        <v>20</v>
      </c>
      <c r="C25" s="1408" t="s">
        <v>3335</v>
      </c>
      <c r="D25" s="1409" t="s">
        <v>3366</v>
      </c>
      <c r="E25" s="1415">
        <v>10162973</v>
      </c>
      <c r="F25" s="1269">
        <v>0</v>
      </c>
      <c r="G25" s="1269">
        <v>0</v>
      </c>
      <c r="H25" s="1407">
        <f t="shared" si="0"/>
        <v>10162973</v>
      </c>
      <c r="M25" s="1268"/>
      <c r="N25" s="1268"/>
    </row>
    <row r="26" spans="2:14" ht="53.25" customHeight="1">
      <c r="B26" s="1406">
        <v>21</v>
      </c>
      <c r="C26" s="1408" t="s">
        <v>3336</v>
      </c>
      <c r="D26" s="1409" t="s">
        <v>3367</v>
      </c>
      <c r="E26" s="1415">
        <v>1767361.1300000001</v>
      </c>
      <c r="F26" s="1269">
        <v>0</v>
      </c>
      <c r="G26" s="1269">
        <v>0</v>
      </c>
      <c r="H26" s="1407">
        <f t="shared" si="0"/>
        <v>1767361.1300000001</v>
      </c>
      <c r="M26" s="1268"/>
      <c r="N26" s="1268"/>
    </row>
    <row r="27" spans="2:14" ht="53.25" customHeight="1">
      <c r="B27" s="1406">
        <v>22</v>
      </c>
      <c r="C27" s="1409" t="s">
        <v>3337</v>
      </c>
      <c r="D27" s="1409" t="s">
        <v>3368</v>
      </c>
      <c r="E27" s="1415">
        <v>598167</v>
      </c>
      <c r="F27" s="1269">
        <v>0</v>
      </c>
      <c r="G27" s="1269">
        <v>0</v>
      </c>
      <c r="H27" s="1407">
        <f t="shared" si="0"/>
        <v>598167</v>
      </c>
      <c r="M27" s="1268"/>
      <c r="N27" s="1268"/>
    </row>
    <row r="28" spans="2:14" ht="53.25" customHeight="1">
      <c r="B28" s="1406">
        <v>23</v>
      </c>
      <c r="C28" s="1409" t="s">
        <v>3338</v>
      </c>
      <c r="D28" s="1409" t="s">
        <v>3369</v>
      </c>
      <c r="E28" s="1415">
        <v>488962</v>
      </c>
      <c r="F28" s="1269">
        <v>0</v>
      </c>
      <c r="G28" s="1269">
        <v>0</v>
      </c>
      <c r="H28" s="1407">
        <f t="shared" si="0"/>
        <v>488962</v>
      </c>
      <c r="M28" s="1268"/>
      <c r="N28" s="1268"/>
    </row>
    <row r="29" spans="2:14" ht="53.25" customHeight="1">
      <c r="B29" s="1406">
        <v>24</v>
      </c>
      <c r="C29" s="1408" t="s">
        <v>3339</v>
      </c>
      <c r="D29" s="1409" t="s">
        <v>3370</v>
      </c>
      <c r="E29" s="1415">
        <v>4714850</v>
      </c>
      <c r="F29" s="1269">
        <v>0</v>
      </c>
      <c r="G29" s="1269">
        <v>0</v>
      </c>
      <c r="H29" s="1407">
        <f t="shared" si="0"/>
        <v>4714850</v>
      </c>
      <c r="M29" s="1268"/>
      <c r="N29" s="1268"/>
    </row>
    <row r="30" spans="2:14" ht="53.25" customHeight="1">
      <c r="B30" s="1406">
        <v>25</v>
      </c>
      <c r="C30" s="1409" t="s">
        <v>3340</v>
      </c>
      <c r="D30" s="1409" t="s">
        <v>3371</v>
      </c>
      <c r="E30" s="1415">
        <v>128898</v>
      </c>
      <c r="F30" s="1269">
        <v>0</v>
      </c>
      <c r="G30" s="1269">
        <v>0</v>
      </c>
      <c r="H30" s="1407">
        <f t="shared" si="0"/>
        <v>128898</v>
      </c>
      <c r="M30" s="1268"/>
      <c r="N30" s="1268"/>
    </row>
    <row r="31" spans="2:14" ht="53.25" customHeight="1">
      <c r="B31" s="1406">
        <v>26</v>
      </c>
      <c r="C31" s="1409" t="s">
        <v>3341</v>
      </c>
      <c r="D31" s="1409" t="s">
        <v>3372</v>
      </c>
      <c r="E31" s="1415">
        <v>2056990</v>
      </c>
      <c r="F31" s="1269">
        <v>0</v>
      </c>
      <c r="G31" s="1269">
        <v>0</v>
      </c>
      <c r="H31" s="1407">
        <f t="shared" si="0"/>
        <v>2056990</v>
      </c>
      <c r="M31" s="1268"/>
      <c r="N31" s="1268"/>
    </row>
    <row r="32" spans="2:14" ht="53.25" customHeight="1">
      <c r="B32" s="1406">
        <v>27</v>
      </c>
      <c r="C32" s="1408" t="s">
        <v>3342</v>
      </c>
      <c r="D32" s="1409" t="s">
        <v>3373</v>
      </c>
      <c r="E32" s="1415">
        <v>777789</v>
      </c>
      <c r="F32" s="1269">
        <v>0</v>
      </c>
      <c r="G32" s="1269">
        <v>0</v>
      </c>
      <c r="H32" s="1407">
        <f t="shared" si="0"/>
        <v>777789</v>
      </c>
      <c r="M32" s="1268"/>
      <c r="N32" s="1268"/>
    </row>
    <row r="33" spans="2:14" ht="53.25" customHeight="1">
      <c r="B33" s="1406">
        <v>28</v>
      </c>
      <c r="C33" s="1408" t="s">
        <v>3343</v>
      </c>
      <c r="D33" s="1409" t="s">
        <v>3374</v>
      </c>
      <c r="E33" s="1415">
        <v>86560</v>
      </c>
      <c r="F33" s="1269">
        <v>0</v>
      </c>
      <c r="G33" s="1269">
        <v>0</v>
      </c>
      <c r="H33" s="1407">
        <f t="shared" si="0"/>
        <v>86560</v>
      </c>
      <c r="M33" s="1268"/>
      <c r="N33" s="1268"/>
    </row>
    <row r="34" spans="2:14" ht="53.25" customHeight="1">
      <c r="B34" s="1406">
        <v>29</v>
      </c>
      <c r="C34" s="1408" t="s">
        <v>3344</v>
      </c>
      <c r="D34" s="1409" t="s">
        <v>3375</v>
      </c>
      <c r="E34" s="1415">
        <v>341514</v>
      </c>
      <c r="F34" s="1269">
        <v>0</v>
      </c>
      <c r="G34" s="1269">
        <v>0</v>
      </c>
      <c r="H34" s="1407">
        <f t="shared" si="0"/>
        <v>341514</v>
      </c>
      <c r="M34" s="1268"/>
      <c r="N34" s="1268"/>
    </row>
    <row r="35" spans="2:14" ht="53.25" customHeight="1">
      <c r="B35" s="1406">
        <v>30</v>
      </c>
      <c r="C35" s="1408" t="s">
        <v>3345</v>
      </c>
      <c r="D35" s="1409" t="s">
        <v>3376</v>
      </c>
      <c r="E35" s="1415">
        <v>167546</v>
      </c>
      <c r="F35" s="1269">
        <v>0</v>
      </c>
      <c r="G35" s="1269">
        <v>0</v>
      </c>
      <c r="H35" s="1407">
        <f t="shared" si="0"/>
        <v>167546</v>
      </c>
      <c r="M35" s="1268"/>
      <c r="N35" s="1268"/>
    </row>
    <row r="36" spans="2:14" ht="53.25" customHeight="1">
      <c r="B36" s="1406">
        <v>31</v>
      </c>
      <c r="C36" s="1408" t="s">
        <v>3346</v>
      </c>
      <c r="D36" s="1409" t="s">
        <v>3377</v>
      </c>
      <c r="E36" s="1415">
        <v>200000</v>
      </c>
      <c r="F36" s="1269">
        <v>0</v>
      </c>
      <c r="G36" s="1269">
        <v>0</v>
      </c>
      <c r="H36" s="1407">
        <f t="shared" si="0"/>
        <v>200000</v>
      </c>
      <c r="M36" s="1268"/>
      <c r="N36" s="1268"/>
    </row>
    <row r="37" spans="2:14" ht="53.25" customHeight="1">
      <c r="B37" s="1769">
        <v>32</v>
      </c>
      <c r="C37" s="1409" t="s">
        <v>3798</v>
      </c>
      <c r="D37" s="1409" t="s">
        <v>3799</v>
      </c>
      <c r="E37" s="1768">
        <v>30640</v>
      </c>
      <c r="F37" s="1409">
        <v>0</v>
      </c>
      <c r="G37" s="1409">
        <v>0</v>
      </c>
      <c r="H37" s="1770">
        <f>+E37</f>
        <v>30640</v>
      </c>
      <c r="M37" s="1268"/>
      <c r="N37" s="1268"/>
    </row>
    <row r="38" spans="2:14" s="1287" customFormat="1" ht="44.25" customHeight="1">
      <c r="B38" s="1410"/>
      <c r="C38" s="1411" t="s">
        <v>58</v>
      </c>
      <c r="D38" s="1412"/>
      <c r="E38" s="1413">
        <f>SUM(E6:E37)</f>
        <v>32880707.559999999</v>
      </c>
      <c r="F38" s="1413">
        <f>SUM(F6:F37)</f>
        <v>0</v>
      </c>
      <c r="G38" s="1413">
        <f>SUM(G6:G37)</f>
        <v>0</v>
      </c>
      <c r="H38" s="1414">
        <f>SUM(H6:H37)</f>
        <v>32880707.559999999</v>
      </c>
      <c r="I38" s="1294"/>
    </row>
    <row r="39" spans="2:14" ht="16.5" thickBot="1">
      <c r="B39" s="1518" t="s">
        <v>3815</v>
      </c>
      <c r="C39" s="1519"/>
      <c r="D39" s="1519"/>
      <c r="E39" s="1519"/>
      <c r="F39" s="1519"/>
      <c r="G39" s="1519"/>
      <c r="H39" s="1520"/>
    </row>
  </sheetData>
  <sheetProtection password="CA19" sheet="1" formatCells="0" formatColumns="0" formatRows="0" insertColumns="0" insertRows="0" insertHyperlinks="0" deleteColumns="0" deleteRows="0" sort="0" autoFilter="0" pivotTables="0"/>
  <mergeCells count="4">
    <mergeCell ref="B39:H39"/>
    <mergeCell ref="B4:H4"/>
    <mergeCell ref="B2:H2"/>
    <mergeCell ref="B3:H3"/>
  </mergeCells>
  <pageMargins left="0.52" right="0.24" top="0.75" bottom="0.75" header="0.3" footer="0.3"/>
  <pageSetup paperSize="5" scale="58" orientation="portrait" r:id="rId1"/>
  <rowBreaks count="1" manualBreakCount="1">
    <brk id="26" min="1" max="8" man="1"/>
  </rowBreaks>
</worksheet>
</file>

<file path=xl/worksheets/sheet18.xml><?xml version="1.0" encoding="utf-8"?>
<worksheet xmlns="http://schemas.openxmlformats.org/spreadsheetml/2006/main" xmlns:r="http://schemas.openxmlformats.org/officeDocument/2006/relationships">
  <sheetPr>
    <tabColor rgb="FFFF0000"/>
  </sheetPr>
  <dimension ref="B1:I28"/>
  <sheetViews>
    <sheetView workbookViewId="0">
      <selection activeCell="B14" sqref="B14:I14"/>
    </sheetView>
  </sheetViews>
  <sheetFormatPr defaultRowHeight="15"/>
  <cols>
    <col min="1" max="1" width="3.42578125" customWidth="1"/>
    <col min="2" max="2" width="7.140625" customWidth="1"/>
    <col min="3" max="3" width="23.140625" customWidth="1"/>
    <col min="4" max="4" width="45.85546875" customWidth="1"/>
    <col min="5" max="5" width="14.5703125" customWidth="1"/>
    <col min="6" max="6" width="25.85546875" customWidth="1"/>
    <col min="7" max="7" width="11.140625" customWidth="1"/>
    <col min="8" max="8" width="15.7109375" style="60" bestFit="1" customWidth="1"/>
    <col min="9" max="9" width="13.5703125" customWidth="1"/>
  </cols>
  <sheetData>
    <row r="1" spans="2:9" ht="15.75">
      <c r="H1" s="196" t="s">
        <v>247</v>
      </c>
    </row>
    <row r="2" spans="2:9" ht="18.75">
      <c r="B2" s="1419" t="s">
        <v>75</v>
      </c>
      <c r="C2" s="1419"/>
      <c r="D2" s="1419"/>
      <c r="E2" s="1419"/>
      <c r="F2" s="1419"/>
      <c r="G2" s="1419"/>
      <c r="H2" s="1419"/>
      <c r="I2" s="1419"/>
    </row>
    <row r="3" spans="2:9">
      <c r="B3" s="1529" t="s">
        <v>85</v>
      </c>
      <c r="C3" s="1529"/>
      <c r="D3" s="1529"/>
      <c r="E3" s="1529"/>
      <c r="F3" s="1529"/>
      <c r="G3" s="1529"/>
      <c r="H3" s="1529"/>
      <c r="I3" s="1529"/>
    </row>
    <row r="4" spans="2:9" ht="16.5" thickBot="1">
      <c r="B4" s="1"/>
      <c r="C4" s="1"/>
      <c r="D4" s="1"/>
      <c r="E4" s="2"/>
      <c r="G4" s="27"/>
      <c r="I4" s="27"/>
    </row>
    <row r="5" spans="2:9" ht="15.75">
      <c r="B5" s="1424" t="s">
        <v>76</v>
      </c>
      <c r="C5" s="1425"/>
      <c r="D5" s="1425"/>
      <c r="E5" s="1425"/>
      <c r="F5" s="313" t="s">
        <v>258</v>
      </c>
      <c r="G5" s="29"/>
      <c r="H5" s="118"/>
      <c r="I5" s="27"/>
    </row>
    <row r="6" spans="2:9" ht="15.75">
      <c r="B6" s="1426" t="s">
        <v>77</v>
      </c>
      <c r="C6" s="1427"/>
      <c r="D6" s="1427"/>
      <c r="E6" s="1427"/>
      <c r="F6" s="166" t="s">
        <v>366</v>
      </c>
      <c r="G6" s="29"/>
      <c r="H6" s="118"/>
      <c r="I6" s="27"/>
    </row>
    <row r="7" spans="2:9" ht="15.75">
      <c r="B7" s="1426" t="s">
        <v>78</v>
      </c>
      <c r="C7" s="1427"/>
      <c r="D7" s="1427"/>
      <c r="E7" s="1427"/>
      <c r="F7" s="314">
        <v>43133</v>
      </c>
      <c r="G7" s="29"/>
      <c r="H7" s="118"/>
      <c r="I7" s="27"/>
    </row>
    <row r="8" spans="2:9" s="228" customFormat="1" ht="15.75">
      <c r="B8" s="1426" t="s">
        <v>183</v>
      </c>
      <c r="C8" s="1427"/>
      <c r="D8" s="1427"/>
      <c r="E8" s="1427"/>
      <c r="F8" s="314">
        <v>43314</v>
      </c>
      <c r="G8" s="29"/>
      <c r="H8" s="196"/>
      <c r="I8" s="27"/>
    </row>
    <row r="9" spans="2:9" s="228" customFormat="1" ht="15.75">
      <c r="B9" s="1426" t="s">
        <v>184</v>
      </c>
      <c r="C9" s="1427"/>
      <c r="D9" s="1427"/>
      <c r="E9" s="1427"/>
      <c r="F9" s="315">
        <v>43014</v>
      </c>
      <c r="G9" s="29"/>
      <c r="H9" s="196"/>
      <c r="I9" s="27"/>
    </row>
    <row r="10" spans="2:9" ht="15.75">
      <c r="B10" s="1426" t="s">
        <v>97</v>
      </c>
      <c r="C10" s="1427"/>
      <c r="D10" s="1427"/>
      <c r="E10" s="1427"/>
      <c r="F10" s="314" t="s">
        <v>259</v>
      </c>
      <c r="G10" s="29"/>
      <c r="H10" s="118"/>
      <c r="I10" s="27"/>
    </row>
    <row r="11" spans="2:9" ht="15.75">
      <c r="B11" s="1426" t="s">
        <v>98</v>
      </c>
      <c r="C11" s="1427"/>
      <c r="D11" s="1427"/>
      <c r="E11" s="1427"/>
      <c r="F11" s="314" t="s">
        <v>260</v>
      </c>
      <c r="G11" s="29"/>
      <c r="H11" s="43"/>
      <c r="I11" s="27"/>
    </row>
    <row r="12" spans="2:9" ht="16.5" thickBot="1">
      <c r="B12" s="1428" t="s">
        <v>79</v>
      </c>
      <c r="C12" s="1429"/>
      <c r="D12" s="1429"/>
      <c r="E12" s="1429"/>
      <c r="F12" s="316" t="s">
        <v>110</v>
      </c>
      <c r="G12" s="28"/>
      <c r="H12" s="54"/>
      <c r="I12" s="29"/>
    </row>
    <row r="13" spans="2:9" ht="15.75">
      <c r="B13" s="5"/>
      <c r="C13" s="99"/>
      <c r="D13" s="99"/>
      <c r="E13" s="5"/>
      <c r="F13" s="99"/>
      <c r="G13" s="28"/>
      <c r="H13" s="54"/>
      <c r="I13" s="29"/>
    </row>
    <row r="14" spans="2:9" ht="15.75">
      <c r="B14" s="1421" t="s">
        <v>86</v>
      </c>
      <c r="C14" s="1421"/>
      <c r="D14" s="1421"/>
      <c r="E14" s="1421"/>
      <c r="F14" s="1421"/>
      <c r="G14" s="1421"/>
      <c r="H14" s="1421"/>
      <c r="I14" s="1421"/>
    </row>
    <row r="15" spans="2:9" s="228" customFormat="1" ht="15.75">
      <c r="B15" s="1421" t="s">
        <v>189</v>
      </c>
      <c r="C15" s="1421"/>
      <c r="D15" s="1421"/>
      <c r="E15" s="1421"/>
      <c r="F15" s="1421"/>
      <c r="G15" s="1421"/>
      <c r="H15" s="1421"/>
      <c r="I15" s="1421"/>
    </row>
    <row r="16" spans="2:9" ht="16.5" thickBot="1">
      <c r="B16" s="30"/>
      <c r="C16" s="31"/>
      <c r="D16" s="29"/>
      <c r="E16" s="29"/>
      <c r="F16" s="32"/>
      <c r="G16" s="31"/>
      <c r="H16" s="33" t="s">
        <v>37</v>
      </c>
      <c r="I16" s="29"/>
    </row>
    <row r="17" spans="2:9" ht="48" thickBot="1">
      <c r="B17" s="142" t="s">
        <v>38</v>
      </c>
      <c r="C17" s="35" t="s">
        <v>39</v>
      </c>
      <c r="D17" s="36" t="s">
        <v>40</v>
      </c>
      <c r="E17" s="36" t="s">
        <v>41</v>
      </c>
      <c r="F17" s="36" t="s">
        <v>42</v>
      </c>
      <c r="G17" s="35" t="s">
        <v>43</v>
      </c>
      <c r="H17" s="35" t="s">
        <v>44</v>
      </c>
      <c r="I17" s="35" t="s">
        <v>45</v>
      </c>
    </row>
    <row r="18" spans="2:9" ht="24.75" customHeight="1" thickBot="1">
      <c r="B18" s="34">
        <v>1</v>
      </c>
      <c r="C18" s="37" t="s">
        <v>285</v>
      </c>
      <c r="D18" s="64" t="s">
        <v>286</v>
      </c>
      <c r="E18" s="64" t="s">
        <v>46</v>
      </c>
      <c r="F18" s="119">
        <v>41147500</v>
      </c>
      <c r="G18" s="38">
        <v>10</v>
      </c>
      <c r="H18" s="63">
        <v>411475000</v>
      </c>
      <c r="I18" s="176" t="e">
        <f>#REF!</f>
        <v>#REF!</v>
      </c>
    </row>
    <row r="19" spans="2:9" ht="24.75" customHeight="1" thickBot="1">
      <c r="B19" s="34">
        <v>2</v>
      </c>
      <c r="C19" s="37" t="s">
        <v>287</v>
      </c>
      <c r="D19" s="64" t="s">
        <v>288</v>
      </c>
      <c r="E19" s="64" t="s">
        <v>46</v>
      </c>
      <c r="F19" s="119">
        <v>39752500</v>
      </c>
      <c r="G19" s="38">
        <v>10</v>
      </c>
      <c r="H19" s="34">
        <v>397525000</v>
      </c>
      <c r="I19" s="176">
        <f>F19/F26</f>
        <v>0.20769331243469175</v>
      </c>
    </row>
    <row r="20" spans="2:9" ht="24.75" customHeight="1" thickBot="1">
      <c r="B20" s="34">
        <v>3</v>
      </c>
      <c r="C20" s="37" t="s">
        <v>289</v>
      </c>
      <c r="D20" s="64" t="s">
        <v>290</v>
      </c>
      <c r="E20" s="64" t="s">
        <v>46</v>
      </c>
      <c r="F20" s="119">
        <v>18750000</v>
      </c>
      <c r="G20" s="38">
        <v>10</v>
      </c>
      <c r="H20" s="34">
        <v>187500000</v>
      </c>
      <c r="I20" s="176">
        <f>F20/F26</f>
        <v>9.7962382445141064E-2</v>
      </c>
    </row>
    <row r="21" spans="2:9" ht="24.75" customHeight="1" thickBot="1">
      <c r="B21" s="34">
        <v>4</v>
      </c>
      <c r="C21" s="37" t="s">
        <v>291</v>
      </c>
      <c r="D21" s="64" t="s">
        <v>292</v>
      </c>
      <c r="E21" s="64" t="s">
        <v>46</v>
      </c>
      <c r="F21" s="119">
        <v>32500000</v>
      </c>
      <c r="G21" s="38">
        <v>10</v>
      </c>
      <c r="H21" s="34">
        <v>325000000</v>
      </c>
      <c r="I21" s="176">
        <f>F21/F26</f>
        <v>0.16980146290491119</v>
      </c>
    </row>
    <row r="22" spans="2:9" ht="24.75" customHeight="1" thickBot="1">
      <c r="B22" s="34">
        <v>5</v>
      </c>
      <c r="C22" s="37" t="s">
        <v>293</v>
      </c>
      <c r="D22" s="64" t="s">
        <v>292</v>
      </c>
      <c r="E22" s="64" t="s">
        <v>46</v>
      </c>
      <c r="F22" s="119">
        <v>12500000</v>
      </c>
      <c r="G22" s="38">
        <v>10</v>
      </c>
      <c r="H22" s="34">
        <v>125000000</v>
      </c>
      <c r="I22" s="176">
        <f>F22/F26</f>
        <v>6.5308254963427376E-2</v>
      </c>
    </row>
    <row r="23" spans="2:9" ht="24.75" customHeight="1" thickBot="1">
      <c r="B23" s="34">
        <v>6</v>
      </c>
      <c r="C23" s="37" t="s">
        <v>294</v>
      </c>
      <c r="D23" s="64" t="s">
        <v>295</v>
      </c>
      <c r="E23" s="64" t="s">
        <v>46</v>
      </c>
      <c r="F23" s="119">
        <v>3000000</v>
      </c>
      <c r="G23" s="38">
        <v>10</v>
      </c>
      <c r="H23" s="34">
        <v>30000000</v>
      </c>
      <c r="I23" s="176">
        <f>F23/F26</f>
        <v>1.5673981191222569E-2</v>
      </c>
    </row>
    <row r="24" spans="2:9" ht="24.75" customHeight="1" thickBot="1">
      <c r="B24" s="34">
        <v>7</v>
      </c>
      <c r="C24" s="37" t="s">
        <v>296</v>
      </c>
      <c r="D24" s="64" t="s">
        <v>297</v>
      </c>
      <c r="E24" s="64" t="s">
        <v>46</v>
      </c>
      <c r="F24" s="119">
        <v>25375000</v>
      </c>
      <c r="G24" s="38">
        <v>10</v>
      </c>
      <c r="H24" s="34">
        <v>253750000</v>
      </c>
      <c r="I24" s="176">
        <f>F24/F26</f>
        <v>0.13257575757575757</v>
      </c>
    </row>
    <row r="25" spans="2:9" ht="24.75" customHeight="1" thickBot="1">
      <c r="B25" s="34">
        <v>8</v>
      </c>
      <c r="C25" s="37" t="s">
        <v>298</v>
      </c>
      <c r="D25" s="64" t="s">
        <v>297</v>
      </c>
      <c r="E25" s="64" t="s">
        <v>46</v>
      </c>
      <c r="F25" s="119">
        <v>18375000</v>
      </c>
      <c r="G25" s="38">
        <v>10</v>
      </c>
      <c r="H25" s="34">
        <v>183750000</v>
      </c>
      <c r="I25" s="176">
        <f>F25/F26</f>
        <v>9.6003134796238246E-2</v>
      </c>
    </row>
    <row r="26" spans="2:9" ht="24.75" customHeight="1" thickBot="1">
      <c r="B26" s="40"/>
      <c r="C26" s="1527" t="s">
        <v>47</v>
      </c>
      <c r="D26" s="1528"/>
      <c r="E26" s="353"/>
      <c r="F26" s="41">
        <f>SUM(F18:F25)</f>
        <v>191400000</v>
      </c>
      <c r="G26" s="354"/>
      <c r="H26" s="41">
        <f>SUM(H18:H25)</f>
        <v>1914000000</v>
      </c>
      <c r="I26" s="176" t="e">
        <f>I18+I19+I20+I21+I22+I23+I24+I25</f>
        <v>#REF!</v>
      </c>
    </row>
    <row r="28" spans="2:9" ht="15.75">
      <c r="F28" s="169"/>
    </row>
  </sheetData>
  <mergeCells count="13">
    <mergeCell ref="C26:D26"/>
    <mergeCell ref="B2:I2"/>
    <mergeCell ref="B3:I3"/>
    <mergeCell ref="B14:I14"/>
    <mergeCell ref="B15:I15"/>
    <mergeCell ref="B5:E5"/>
    <mergeCell ref="B6:E6"/>
    <mergeCell ref="B7:E7"/>
    <mergeCell ref="B8:E8"/>
    <mergeCell ref="B9:E9"/>
    <mergeCell ref="B10:E10"/>
    <mergeCell ref="B11:E11"/>
    <mergeCell ref="B12:E12"/>
  </mergeCells>
  <pageMargins left="0.70866141732283505" right="0.15748031496063" top="0.48" bottom="0.16" header="0.31496062992126" footer="0.16"/>
  <pageSetup paperSize="9" orientation="landscape" copies="3" r:id="rId1"/>
</worksheet>
</file>

<file path=xl/worksheets/sheet19.xml><?xml version="1.0" encoding="utf-8"?>
<worksheet xmlns="http://schemas.openxmlformats.org/spreadsheetml/2006/main" xmlns:r="http://schemas.openxmlformats.org/officeDocument/2006/relationships">
  <sheetPr>
    <tabColor rgb="FFFF0000"/>
  </sheetPr>
  <dimension ref="A1:I212"/>
  <sheetViews>
    <sheetView workbookViewId="0">
      <selection activeCell="D217" sqref="D217"/>
    </sheetView>
  </sheetViews>
  <sheetFormatPr defaultRowHeight="15"/>
  <cols>
    <col min="1" max="1" width="6.140625" style="60" customWidth="1"/>
    <col min="2" max="2" width="29.42578125" customWidth="1"/>
    <col min="3" max="3" width="53.7109375" customWidth="1"/>
    <col min="4" max="4" width="21.85546875" style="144" customWidth="1"/>
    <col min="5" max="5" width="33.5703125" style="144" customWidth="1"/>
    <col min="6" max="6" width="21.140625" customWidth="1"/>
    <col min="7" max="7" width="0" hidden="1" customWidth="1"/>
    <col min="8" max="8" width="19.85546875" hidden="1" customWidth="1"/>
    <col min="11" max="11" width="12.5703125" customWidth="1"/>
    <col min="12" max="12" width="12" customWidth="1"/>
  </cols>
  <sheetData>
    <row r="1" spans="1:6" ht="15.75">
      <c r="E1" s="231" t="s">
        <v>2482</v>
      </c>
    </row>
    <row r="2" spans="1:6" ht="18.75">
      <c r="A2" s="1419" t="s">
        <v>75</v>
      </c>
      <c r="B2" s="1419"/>
      <c r="C2" s="1419"/>
      <c r="D2" s="1419"/>
      <c r="E2" s="1419"/>
      <c r="F2" s="1419"/>
    </row>
    <row r="3" spans="1:6" ht="15.75">
      <c r="A3" s="1437" t="s">
        <v>164</v>
      </c>
      <c r="B3" s="1437"/>
      <c r="C3" s="1437"/>
      <c r="D3" s="1437"/>
      <c r="E3" s="1437"/>
      <c r="F3" s="1437"/>
    </row>
    <row r="4" spans="1:6" ht="15.75">
      <c r="A4" s="1539" t="s">
        <v>165</v>
      </c>
      <c r="B4" s="1539"/>
      <c r="C4" s="1539"/>
      <c r="D4" s="1539"/>
      <c r="E4" s="1539"/>
      <c r="F4" s="1539"/>
    </row>
    <row r="5" spans="1:6" ht="16.5" thickBot="1">
      <c r="A5" s="1"/>
      <c r="B5" s="1"/>
      <c r="C5" s="2"/>
      <c r="D5" s="148"/>
    </row>
    <row r="6" spans="1:6" ht="15.75">
      <c r="A6" s="529" t="s">
        <v>76</v>
      </c>
      <c r="B6" s="530"/>
      <c r="C6" s="530"/>
      <c r="D6" s="1540" t="s">
        <v>258</v>
      </c>
      <c r="E6" s="1540"/>
      <c r="F6" s="1541"/>
    </row>
    <row r="7" spans="1:6" ht="15.75">
      <c r="A7" s="531" t="s">
        <v>77</v>
      </c>
      <c r="B7" s="532"/>
      <c r="C7" s="532"/>
      <c r="D7" s="1534" t="s">
        <v>366</v>
      </c>
      <c r="E7" s="1534"/>
      <c r="F7" s="1542"/>
    </row>
    <row r="8" spans="1:6" ht="15.75">
      <c r="A8" s="531" t="s">
        <v>78</v>
      </c>
      <c r="B8" s="532"/>
      <c r="C8" s="532"/>
      <c r="D8" s="1535">
        <v>43133</v>
      </c>
      <c r="E8" s="1535"/>
      <c r="F8" s="1536"/>
    </row>
    <row r="9" spans="1:6" s="228" customFormat="1" ht="15.75">
      <c r="A9" s="531" t="s">
        <v>183</v>
      </c>
      <c r="B9" s="532"/>
      <c r="C9" s="532"/>
      <c r="D9" s="1535">
        <v>43314</v>
      </c>
      <c r="E9" s="1535"/>
      <c r="F9" s="1536"/>
    </row>
    <row r="10" spans="1:6" s="228" customFormat="1" ht="15.75" hidden="1">
      <c r="A10" s="531" t="s">
        <v>184</v>
      </c>
      <c r="B10" s="532"/>
      <c r="C10" s="532"/>
      <c r="D10" s="1543">
        <v>43014</v>
      </c>
      <c r="E10" s="1543"/>
      <c r="F10" s="1544"/>
    </row>
    <row r="11" spans="1:6" ht="15.75">
      <c r="A11" s="531" t="s">
        <v>2480</v>
      </c>
      <c r="B11" s="532"/>
      <c r="C11" s="532"/>
      <c r="D11" s="1534" t="s">
        <v>2481</v>
      </c>
      <c r="E11" s="1534"/>
      <c r="F11" s="1534"/>
    </row>
    <row r="12" spans="1:6" ht="15.75">
      <c r="A12" s="531" t="s">
        <v>98</v>
      </c>
      <c r="B12" s="532"/>
      <c r="C12" s="532"/>
      <c r="D12" s="1535" t="s">
        <v>260</v>
      </c>
      <c r="E12" s="1535"/>
      <c r="F12" s="1536"/>
    </row>
    <row r="13" spans="1:6" ht="16.5" thickBot="1">
      <c r="A13" s="533" t="s">
        <v>79</v>
      </c>
      <c r="B13" s="534"/>
      <c r="C13" s="534"/>
      <c r="D13" s="1537" t="s">
        <v>110</v>
      </c>
      <c r="E13" s="1537"/>
      <c r="F13" s="1538"/>
    </row>
    <row r="15" spans="1:6" ht="15.75">
      <c r="A15" s="1530" t="s">
        <v>2443</v>
      </c>
      <c r="B15" s="1420"/>
      <c r="C15" s="1420"/>
      <c r="D15" s="1420"/>
      <c r="E15" s="1420"/>
      <c r="F15" s="1420"/>
    </row>
    <row r="16" spans="1:6" s="228" customFormat="1" ht="15.75">
      <c r="A16" s="194"/>
      <c r="B16" s="194"/>
      <c r="C16" s="194"/>
      <c r="D16" s="380" t="s">
        <v>190</v>
      </c>
      <c r="E16" s="194"/>
      <c r="F16" s="194"/>
    </row>
    <row r="18" spans="1:8" s="143" customFormat="1" ht="15.75" hidden="1" thickBot="1">
      <c r="A18" s="355" t="s">
        <v>88</v>
      </c>
      <c r="B18" s="355" t="s">
        <v>89</v>
      </c>
      <c r="C18" s="355" t="s">
        <v>91</v>
      </c>
      <c r="D18" s="1532" t="s">
        <v>92</v>
      </c>
      <c r="E18" s="1532"/>
      <c r="F18" s="355" t="s">
        <v>52</v>
      </c>
      <c r="H18" s="175" t="s">
        <v>90</v>
      </c>
    </row>
    <row r="19" spans="1:8" ht="29.25" hidden="1" customHeight="1" thickBot="1">
      <c r="A19" s="558">
        <v>1</v>
      </c>
      <c r="B19" s="662" t="s">
        <v>304</v>
      </c>
      <c r="C19" s="663" t="s">
        <v>2478</v>
      </c>
      <c r="D19" s="1533"/>
      <c r="E19" s="1533"/>
      <c r="F19" s="664"/>
      <c r="G19" s="632"/>
      <c r="H19" s="633" t="s">
        <v>303</v>
      </c>
    </row>
    <row r="20" spans="1:8" ht="37.5" hidden="1" customHeight="1" thickBot="1">
      <c r="A20" s="558">
        <v>2</v>
      </c>
      <c r="B20" s="662" t="s">
        <v>307</v>
      </c>
      <c r="C20" s="663" t="s">
        <v>2479</v>
      </c>
      <c r="D20" s="1533"/>
      <c r="E20" s="1533"/>
      <c r="F20" s="664"/>
      <c r="G20" s="632"/>
      <c r="H20" s="634" t="s">
        <v>309</v>
      </c>
    </row>
    <row r="21" spans="1:8" ht="51" hidden="1" customHeight="1" thickBot="1">
      <c r="A21" s="558">
        <v>3</v>
      </c>
      <c r="B21" s="635" t="s">
        <v>520</v>
      </c>
      <c r="C21" s="628" t="s">
        <v>517</v>
      </c>
      <c r="D21" s="1531" t="s">
        <v>2449</v>
      </c>
      <c r="E21" s="1531"/>
      <c r="F21" s="636">
        <v>43122</v>
      </c>
      <c r="G21" s="637"/>
      <c r="H21" s="638" t="s">
        <v>2448</v>
      </c>
    </row>
    <row r="22" spans="1:8" ht="54" hidden="1" customHeight="1" thickBot="1">
      <c r="A22" s="558">
        <v>4</v>
      </c>
      <c r="B22" s="635" t="s">
        <v>530</v>
      </c>
      <c r="C22" s="628" t="s">
        <v>528</v>
      </c>
      <c r="D22" s="1531" t="s">
        <v>2483</v>
      </c>
      <c r="E22" s="1531"/>
      <c r="F22" s="631" t="s">
        <v>532</v>
      </c>
      <c r="G22" s="637"/>
      <c r="H22" s="638">
        <v>138</v>
      </c>
    </row>
    <row r="23" spans="1:8" ht="38.25" hidden="1" customHeight="1" thickBot="1">
      <c r="A23" s="558">
        <v>5</v>
      </c>
      <c r="B23" s="639" t="s">
        <v>791</v>
      </c>
      <c r="C23" s="628" t="s">
        <v>789</v>
      </c>
      <c r="D23" s="1531" t="s">
        <v>2484</v>
      </c>
      <c r="E23" s="1531"/>
      <c r="F23" s="631" t="s">
        <v>2496</v>
      </c>
      <c r="G23" s="641"/>
      <c r="H23" s="638">
        <v>138</v>
      </c>
    </row>
    <row r="24" spans="1:8" ht="36.75" hidden="1" customHeight="1" thickBot="1">
      <c r="A24" s="558">
        <v>6</v>
      </c>
      <c r="B24" s="639" t="s">
        <v>797</v>
      </c>
      <c r="C24" s="642" t="s">
        <v>795</v>
      </c>
      <c r="D24" s="1531" t="s">
        <v>2484</v>
      </c>
      <c r="E24" s="1531"/>
      <c r="F24" s="631" t="s">
        <v>2497</v>
      </c>
      <c r="G24" s="637"/>
      <c r="H24" s="638">
        <v>138</v>
      </c>
    </row>
    <row r="25" spans="1:8" ht="50.1" hidden="1" customHeight="1" thickBot="1">
      <c r="A25" s="558">
        <v>7</v>
      </c>
      <c r="B25" s="635" t="s">
        <v>983</v>
      </c>
      <c r="C25" s="628" t="s">
        <v>982</v>
      </c>
      <c r="D25" s="1531" t="s">
        <v>2485</v>
      </c>
      <c r="E25" s="1531"/>
      <c r="F25" s="631" t="s">
        <v>2498</v>
      </c>
      <c r="G25" s="637"/>
      <c r="H25" s="638">
        <v>138</v>
      </c>
    </row>
    <row r="26" spans="1:8" ht="50.1" hidden="1" customHeight="1" thickBot="1">
      <c r="A26" s="558">
        <v>8</v>
      </c>
      <c r="B26" s="631" t="s">
        <v>997</v>
      </c>
      <c r="C26" s="628" t="s">
        <v>982</v>
      </c>
      <c r="D26" s="1531" t="s">
        <v>2485</v>
      </c>
      <c r="E26" s="1531"/>
      <c r="F26" s="631" t="s">
        <v>2499</v>
      </c>
      <c r="G26" s="637"/>
      <c r="H26" s="638">
        <v>138</v>
      </c>
    </row>
    <row r="27" spans="1:8" ht="50.1" hidden="1" customHeight="1" thickBot="1">
      <c r="A27" s="558">
        <v>9</v>
      </c>
      <c r="B27" s="631" t="s">
        <v>1053</v>
      </c>
      <c r="C27" s="628" t="s">
        <v>1050</v>
      </c>
      <c r="D27" s="1531" t="s">
        <v>2450</v>
      </c>
      <c r="E27" s="1531"/>
      <c r="F27" s="630" t="s">
        <v>1055</v>
      </c>
      <c r="G27" s="637"/>
      <c r="H27" s="638">
        <v>138</v>
      </c>
    </row>
    <row r="28" spans="1:8" ht="38.25" hidden="1" customHeight="1" thickBot="1">
      <c r="A28" s="558">
        <v>10</v>
      </c>
      <c r="B28" s="643" t="s">
        <v>1121</v>
      </c>
      <c r="C28" s="642" t="s">
        <v>548</v>
      </c>
      <c r="D28" s="1531" t="s">
        <v>2449</v>
      </c>
      <c r="E28" s="1531"/>
      <c r="F28" s="644">
        <v>12222</v>
      </c>
      <c r="G28" s="637"/>
      <c r="H28" s="638">
        <v>138</v>
      </c>
    </row>
    <row r="29" spans="1:8" ht="40.5" hidden="1" customHeight="1" thickBot="1">
      <c r="A29" s="558">
        <v>11</v>
      </c>
      <c r="B29" s="643" t="s">
        <v>1125</v>
      </c>
      <c r="C29" s="642" t="s">
        <v>1124</v>
      </c>
      <c r="D29" s="1531" t="s">
        <v>2486</v>
      </c>
      <c r="E29" s="1531"/>
      <c r="F29" s="631" t="s">
        <v>2500</v>
      </c>
      <c r="G29" s="641"/>
      <c r="H29" s="638">
        <v>138</v>
      </c>
    </row>
    <row r="30" spans="1:8" ht="38.25" hidden="1" customHeight="1" thickBot="1">
      <c r="A30" s="558">
        <v>12</v>
      </c>
      <c r="B30" s="643" t="s">
        <v>1128</v>
      </c>
      <c r="C30" s="642" t="s">
        <v>552</v>
      </c>
      <c r="D30" s="1531" t="s">
        <v>2451</v>
      </c>
      <c r="E30" s="1531"/>
      <c r="F30" s="644">
        <v>12923</v>
      </c>
      <c r="G30" s="641"/>
      <c r="H30" s="638">
        <v>138</v>
      </c>
    </row>
    <row r="31" spans="1:8" ht="42" hidden="1" customHeight="1" thickBot="1">
      <c r="A31" s="558">
        <v>13</v>
      </c>
      <c r="B31" s="643" t="s">
        <v>1131</v>
      </c>
      <c r="C31" s="642" t="s">
        <v>1130</v>
      </c>
      <c r="D31" s="1531" t="s">
        <v>2452</v>
      </c>
      <c r="E31" s="1531"/>
      <c r="F31" s="631" t="s">
        <v>2495</v>
      </c>
      <c r="G31" s="637"/>
      <c r="H31" s="638">
        <v>138</v>
      </c>
    </row>
    <row r="32" spans="1:8" ht="38.25" hidden="1" customHeight="1" thickBot="1">
      <c r="A32" s="558">
        <v>14</v>
      </c>
      <c r="B32" s="643" t="s">
        <v>1136</v>
      </c>
      <c r="C32" s="642" t="s">
        <v>1134</v>
      </c>
      <c r="D32" s="1531" t="s">
        <v>2487</v>
      </c>
      <c r="E32" s="1531"/>
      <c r="F32" s="644">
        <v>10697</v>
      </c>
      <c r="G32" s="641"/>
      <c r="H32" s="638">
        <v>138</v>
      </c>
    </row>
    <row r="33" spans="1:8" ht="38.25" hidden="1" customHeight="1" thickBot="1">
      <c r="A33" s="558">
        <v>15</v>
      </c>
      <c r="B33" s="643" t="s">
        <v>1140</v>
      </c>
      <c r="C33" s="642" t="s">
        <v>1138</v>
      </c>
      <c r="D33" s="1531" t="s">
        <v>2453</v>
      </c>
      <c r="E33" s="1531"/>
      <c r="F33" s="643" t="s">
        <v>1142</v>
      </c>
      <c r="G33" s="637"/>
      <c r="H33" s="638">
        <v>138</v>
      </c>
    </row>
    <row r="34" spans="1:8" ht="40.5" hidden="1" customHeight="1" thickBot="1">
      <c r="A34" s="558">
        <v>16</v>
      </c>
      <c r="B34" s="635" t="s">
        <v>1146</v>
      </c>
      <c r="C34" s="628" t="s">
        <v>1143</v>
      </c>
      <c r="D34" s="1531" t="s">
        <v>2454</v>
      </c>
      <c r="E34" s="1531"/>
      <c r="F34" s="631" t="s">
        <v>1148</v>
      </c>
      <c r="G34" s="641"/>
      <c r="H34" s="638">
        <v>138</v>
      </c>
    </row>
    <row r="35" spans="1:8" ht="50.1" hidden="1" customHeight="1" thickBot="1">
      <c r="A35" s="558">
        <v>17</v>
      </c>
      <c r="B35" s="629" t="s">
        <v>1158</v>
      </c>
      <c r="C35" s="628" t="s">
        <v>846</v>
      </c>
      <c r="D35" s="1546" t="s">
        <v>2455</v>
      </c>
      <c r="E35" s="1546"/>
      <c r="F35" s="635" t="s">
        <v>1160</v>
      </c>
      <c r="G35" s="641"/>
      <c r="H35" s="638">
        <v>138</v>
      </c>
    </row>
    <row r="36" spans="1:8" ht="50.1" hidden="1" customHeight="1" thickBot="1">
      <c r="A36" s="558">
        <v>18</v>
      </c>
      <c r="B36" s="631" t="s">
        <v>1161</v>
      </c>
      <c r="C36" s="628" t="s">
        <v>846</v>
      </c>
      <c r="D36" s="1531" t="s">
        <v>2455</v>
      </c>
      <c r="E36" s="1531"/>
      <c r="F36" s="635" t="s">
        <v>1163</v>
      </c>
      <c r="G36" s="637"/>
      <c r="H36" s="638">
        <v>138</v>
      </c>
    </row>
    <row r="37" spans="1:8" ht="35.25" hidden="1" customHeight="1" thickBot="1">
      <c r="A37" s="558">
        <v>19</v>
      </c>
      <c r="B37" s="631" t="s">
        <v>1166</v>
      </c>
      <c r="C37" s="628" t="s">
        <v>1164</v>
      </c>
      <c r="D37" s="1531" t="s">
        <v>2456</v>
      </c>
      <c r="E37" s="1531"/>
      <c r="F37" s="656"/>
      <c r="G37" s="641"/>
      <c r="H37" s="638">
        <v>138</v>
      </c>
    </row>
    <row r="38" spans="1:8" ht="36.75" hidden="1" customHeight="1" thickBot="1">
      <c r="A38" s="558">
        <v>20</v>
      </c>
      <c r="B38" s="631" t="s">
        <v>1171</v>
      </c>
      <c r="C38" s="628" t="s">
        <v>1164</v>
      </c>
      <c r="D38" s="1531" t="s">
        <v>2456</v>
      </c>
      <c r="E38" s="1531"/>
      <c r="F38" s="657"/>
      <c r="G38" s="641"/>
      <c r="H38" s="638">
        <v>138</v>
      </c>
    </row>
    <row r="39" spans="1:8" ht="50.1" hidden="1" customHeight="1" thickBot="1">
      <c r="A39" s="558">
        <v>21</v>
      </c>
      <c r="B39" s="635" t="s">
        <v>1174</v>
      </c>
      <c r="C39" s="628" t="s">
        <v>1173</v>
      </c>
      <c r="D39" s="1531" t="s">
        <v>2457</v>
      </c>
      <c r="E39" s="1531"/>
      <c r="F39" s="631" t="s">
        <v>1176</v>
      </c>
      <c r="G39" s="641"/>
      <c r="H39" s="638">
        <v>138</v>
      </c>
    </row>
    <row r="40" spans="1:8" ht="50.1" hidden="1" customHeight="1" thickBot="1">
      <c r="A40" s="558">
        <v>22</v>
      </c>
      <c r="B40" s="635" t="s">
        <v>1179</v>
      </c>
      <c r="C40" s="628" t="s">
        <v>1178</v>
      </c>
      <c r="D40" s="1531" t="s">
        <v>2457</v>
      </c>
      <c r="E40" s="1531"/>
      <c r="F40" s="631" t="s">
        <v>2494</v>
      </c>
      <c r="G40" s="641"/>
      <c r="H40" s="638">
        <v>138</v>
      </c>
    </row>
    <row r="41" spans="1:8" ht="50.1" hidden="1" customHeight="1" thickBot="1">
      <c r="A41" s="558">
        <v>23</v>
      </c>
      <c r="B41" s="635" t="s">
        <v>1184</v>
      </c>
      <c r="C41" s="628" t="s">
        <v>1182</v>
      </c>
      <c r="D41" s="1531" t="s">
        <v>2458</v>
      </c>
      <c r="E41" s="1531"/>
      <c r="F41" s="645" t="s">
        <v>2501</v>
      </c>
      <c r="G41" s="641"/>
      <c r="H41" s="638">
        <v>138</v>
      </c>
    </row>
    <row r="42" spans="1:8" ht="50.1" hidden="1" customHeight="1" thickBot="1">
      <c r="A42" s="558">
        <v>24</v>
      </c>
      <c r="B42" s="635" t="s">
        <v>1188</v>
      </c>
      <c r="C42" s="628" t="s">
        <v>1187</v>
      </c>
      <c r="D42" s="1531" t="s">
        <v>2461</v>
      </c>
      <c r="E42" s="1531"/>
      <c r="F42" s="630" t="s">
        <v>1190</v>
      </c>
      <c r="G42" s="641"/>
      <c r="H42" s="638">
        <v>138</v>
      </c>
    </row>
    <row r="43" spans="1:8" ht="50.1" hidden="1" customHeight="1" thickBot="1">
      <c r="A43" s="558">
        <v>25</v>
      </c>
      <c r="B43" s="635" t="s">
        <v>1192</v>
      </c>
      <c r="C43" s="628" t="s">
        <v>1191</v>
      </c>
      <c r="D43" s="1531" t="s">
        <v>2461</v>
      </c>
      <c r="E43" s="1531"/>
      <c r="F43" s="646">
        <v>32530</v>
      </c>
      <c r="G43" s="641"/>
      <c r="H43" s="638">
        <v>138</v>
      </c>
    </row>
    <row r="44" spans="1:8" ht="50.1" hidden="1" customHeight="1" thickBot="1">
      <c r="A44" s="558">
        <v>26</v>
      </c>
      <c r="B44" s="635" t="s">
        <v>1202</v>
      </c>
      <c r="C44" s="628" t="s">
        <v>1200</v>
      </c>
      <c r="D44" s="1531" t="s">
        <v>2459</v>
      </c>
      <c r="E44" s="1531"/>
      <c r="F44" s="645" t="s">
        <v>1204</v>
      </c>
      <c r="G44" s="641"/>
      <c r="H44" s="638">
        <v>138</v>
      </c>
    </row>
    <row r="45" spans="1:8" ht="50.1" hidden="1" customHeight="1" thickBot="1">
      <c r="A45" s="558">
        <v>27</v>
      </c>
      <c r="B45" s="635" t="s">
        <v>1206</v>
      </c>
      <c r="C45" s="628" t="s">
        <v>1200</v>
      </c>
      <c r="D45" s="1531" t="s">
        <v>2460</v>
      </c>
      <c r="E45" s="1531"/>
      <c r="F45" s="645" t="s">
        <v>1208</v>
      </c>
      <c r="G45" s="641"/>
      <c r="H45" s="638">
        <v>138</v>
      </c>
    </row>
    <row r="46" spans="1:8" ht="50.1" hidden="1" customHeight="1" thickBot="1">
      <c r="A46" s="558">
        <v>28</v>
      </c>
      <c r="B46" s="635" t="s">
        <v>1210</v>
      </c>
      <c r="C46" s="628" t="s">
        <v>1200</v>
      </c>
      <c r="D46" s="1531" t="s">
        <v>2461</v>
      </c>
      <c r="E46" s="1531"/>
      <c r="F46" s="645" t="s">
        <v>2504</v>
      </c>
      <c r="G46" s="641"/>
      <c r="H46" s="638">
        <v>138</v>
      </c>
    </row>
    <row r="47" spans="1:8" ht="50.1" hidden="1" customHeight="1" thickBot="1">
      <c r="A47" s="558">
        <v>29</v>
      </c>
      <c r="B47" s="635" t="s">
        <v>1216</v>
      </c>
      <c r="C47" s="628" t="s">
        <v>1214</v>
      </c>
      <c r="D47" s="1531" t="s">
        <v>2462</v>
      </c>
      <c r="E47" s="1531"/>
      <c r="F47" s="631" t="s">
        <v>1218</v>
      </c>
      <c r="G47" s="641"/>
      <c r="H47" s="638">
        <v>138</v>
      </c>
    </row>
    <row r="48" spans="1:8" ht="50.1" hidden="1" customHeight="1" thickBot="1">
      <c r="A48" s="558">
        <v>30</v>
      </c>
      <c r="B48" s="635" t="s">
        <v>1223</v>
      </c>
      <c r="C48" s="628" t="s">
        <v>1220</v>
      </c>
      <c r="D48" s="1531" t="s">
        <v>2463</v>
      </c>
      <c r="E48" s="1531"/>
      <c r="F48" s="631" t="s">
        <v>2505</v>
      </c>
      <c r="G48" s="637"/>
      <c r="H48" s="638">
        <v>138</v>
      </c>
    </row>
    <row r="49" spans="1:8" ht="50.1" hidden="1" customHeight="1" thickBot="1">
      <c r="A49" s="558">
        <v>31</v>
      </c>
      <c r="B49" s="635" t="s">
        <v>1227</v>
      </c>
      <c r="C49" s="628" t="s">
        <v>1220</v>
      </c>
      <c r="D49" s="1531" t="s">
        <v>2463</v>
      </c>
      <c r="E49" s="1531"/>
      <c r="F49" s="631" t="s">
        <v>1229</v>
      </c>
      <c r="G49" s="637"/>
      <c r="H49" s="638">
        <v>138</v>
      </c>
    </row>
    <row r="50" spans="1:8" ht="50.1" hidden="1" customHeight="1" thickBot="1">
      <c r="A50" s="558">
        <v>32</v>
      </c>
      <c r="B50" s="635" t="s">
        <v>1230</v>
      </c>
      <c r="C50" s="628" t="s">
        <v>1220</v>
      </c>
      <c r="D50" s="1531" t="s">
        <v>2463</v>
      </c>
      <c r="E50" s="1531"/>
      <c r="F50" s="636">
        <v>25000</v>
      </c>
      <c r="G50" s="637"/>
      <c r="H50" s="638">
        <v>138</v>
      </c>
    </row>
    <row r="51" spans="1:8" ht="50.1" hidden="1" customHeight="1" thickBot="1">
      <c r="A51" s="558">
        <v>33</v>
      </c>
      <c r="B51" s="635" t="s">
        <v>1232</v>
      </c>
      <c r="C51" s="628" t="s">
        <v>1220</v>
      </c>
      <c r="D51" s="1531" t="s">
        <v>2463</v>
      </c>
      <c r="E51" s="1531"/>
      <c r="F51" s="630" t="s">
        <v>2503</v>
      </c>
      <c r="G51" s="637"/>
      <c r="H51" s="638">
        <v>138</v>
      </c>
    </row>
    <row r="52" spans="1:8" ht="50.1" hidden="1" customHeight="1" thickBot="1">
      <c r="A52" s="558">
        <v>34</v>
      </c>
      <c r="B52" s="635" t="s">
        <v>1238</v>
      </c>
      <c r="C52" s="628" t="s">
        <v>1235</v>
      </c>
      <c r="D52" s="1545" t="s">
        <v>2464</v>
      </c>
      <c r="E52" s="1545"/>
      <c r="F52" s="644">
        <v>54154</v>
      </c>
      <c r="G52" s="641"/>
      <c r="H52" s="638">
        <v>138</v>
      </c>
    </row>
    <row r="53" spans="1:8" ht="50.1" hidden="1" customHeight="1" thickBot="1">
      <c r="A53" s="558">
        <v>35</v>
      </c>
      <c r="B53" s="635" t="s">
        <v>1243</v>
      </c>
      <c r="C53" s="628" t="s">
        <v>1242</v>
      </c>
      <c r="D53" s="1545" t="s">
        <v>2451</v>
      </c>
      <c r="E53" s="1545"/>
      <c r="F53" s="645" t="s">
        <v>1245</v>
      </c>
      <c r="G53" s="641"/>
      <c r="H53" s="638">
        <v>138</v>
      </c>
    </row>
    <row r="54" spans="1:8" ht="50.1" hidden="1" customHeight="1" thickBot="1">
      <c r="A54" s="558">
        <v>36</v>
      </c>
      <c r="B54" s="635" t="s">
        <v>1248</v>
      </c>
      <c r="C54" s="628" t="s">
        <v>897</v>
      </c>
      <c r="D54" s="1545" t="s">
        <v>2465</v>
      </c>
      <c r="E54" s="1545"/>
      <c r="F54" s="635" t="s">
        <v>1250</v>
      </c>
      <c r="G54" s="641"/>
      <c r="H54" s="638">
        <v>138</v>
      </c>
    </row>
    <row r="55" spans="1:8" ht="50.1" hidden="1" customHeight="1" thickBot="1">
      <c r="A55" s="558">
        <v>37</v>
      </c>
      <c r="B55" s="643" t="s">
        <v>1253</v>
      </c>
      <c r="C55" s="642" t="s">
        <v>1251</v>
      </c>
      <c r="D55" s="1545" t="s">
        <v>2466</v>
      </c>
      <c r="E55" s="1545"/>
      <c r="F55" s="647">
        <v>1834873.29</v>
      </c>
      <c r="G55" s="648"/>
      <c r="H55" s="638">
        <v>138</v>
      </c>
    </row>
    <row r="56" spans="1:8" ht="50.1" hidden="1" customHeight="1" thickBot="1">
      <c r="A56" s="558">
        <v>38</v>
      </c>
      <c r="B56" s="635" t="s">
        <v>1257</v>
      </c>
      <c r="C56" s="628" t="s">
        <v>1255</v>
      </c>
      <c r="D56" s="1545" t="s">
        <v>2488</v>
      </c>
      <c r="E56" s="1545"/>
      <c r="F56" s="645" t="s">
        <v>2502</v>
      </c>
      <c r="G56" s="637"/>
      <c r="H56" s="638">
        <v>138</v>
      </c>
    </row>
    <row r="57" spans="1:8" ht="50.1" hidden="1" customHeight="1" thickBot="1">
      <c r="A57" s="558">
        <v>39</v>
      </c>
      <c r="B57" s="635" t="s">
        <v>1261</v>
      </c>
      <c r="C57" s="628" t="s">
        <v>1079</v>
      </c>
      <c r="D57" s="1545" t="s">
        <v>2457</v>
      </c>
      <c r="E57" s="1545"/>
      <c r="F57" s="635" t="s">
        <v>1263</v>
      </c>
      <c r="G57" s="641"/>
      <c r="H57" s="638">
        <v>138</v>
      </c>
    </row>
    <row r="58" spans="1:8" ht="50.1" hidden="1" customHeight="1" thickBot="1">
      <c r="A58" s="558">
        <v>40</v>
      </c>
      <c r="B58" s="635" t="s">
        <v>1266</v>
      </c>
      <c r="C58" s="628" t="s">
        <v>1265</v>
      </c>
      <c r="D58" s="1545" t="s">
        <v>2489</v>
      </c>
      <c r="E58" s="1545"/>
      <c r="F58" s="645" t="s">
        <v>2506</v>
      </c>
      <c r="G58" s="637"/>
      <c r="H58" s="638">
        <v>138</v>
      </c>
    </row>
    <row r="59" spans="1:8" ht="50.1" hidden="1" customHeight="1" thickBot="1">
      <c r="A59" s="558">
        <v>41</v>
      </c>
      <c r="B59" s="635" t="s">
        <v>1279</v>
      </c>
      <c r="C59" s="628" t="s">
        <v>1194</v>
      </c>
      <c r="D59" s="1545" t="s">
        <v>2490</v>
      </c>
      <c r="E59" s="1545"/>
      <c r="F59" s="649">
        <v>83532.78</v>
      </c>
      <c r="G59" s="641"/>
      <c r="H59" s="638">
        <v>138</v>
      </c>
    </row>
    <row r="60" spans="1:8" ht="50.1" hidden="1" customHeight="1" thickBot="1">
      <c r="A60" s="558">
        <v>42</v>
      </c>
      <c r="B60" s="635" t="s">
        <v>1285</v>
      </c>
      <c r="C60" s="628" t="s">
        <v>1282</v>
      </c>
      <c r="D60" s="1531" t="s">
        <v>2467</v>
      </c>
      <c r="E60" s="1531"/>
      <c r="F60" s="643" t="s">
        <v>1287</v>
      </c>
      <c r="G60" s="641"/>
      <c r="H60" s="638">
        <v>138</v>
      </c>
    </row>
    <row r="61" spans="1:8" ht="50.1" hidden="1" customHeight="1" thickBot="1">
      <c r="A61" s="558">
        <v>43</v>
      </c>
      <c r="B61" s="635" t="s">
        <v>1291</v>
      </c>
      <c r="C61" s="628" t="s">
        <v>1289</v>
      </c>
      <c r="D61" s="1531" t="s">
        <v>2468</v>
      </c>
      <c r="E61" s="1531"/>
      <c r="F61" s="643" t="s">
        <v>1293</v>
      </c>
      <c r="G61" s="641"/>
      <c r="H61" s="638">
        <v>138</v>
      </c>
    </row>
    <row r="62" spans="1:8" ht="50.1" hidden="1" customHeight="1" thickBot="1">
      <c r="A62" s="558">
        <v>44</v>
      </c>
      <c r="B62" s="635" t="s">
        <v>1302</v>
      </c>
      <c r="C62" s="628" t="s">
        <v>1182</v>
      </c>
      <c r="D62" s="1531" t="s">
        <v>2473</v>
      </c>
      <c r="E62" s="1531"/>
      <c r="F62" s="635" t="s">
        <v>1304</v>
      </c>
      <c r="G62" s="637"/>
      <c r="H62" s="638">
        <v>138</v>
      </c>
    </row>
    <row r="63" spans="1:8" ht="50.1" hidden="1" customHeight="1" thickBot="1">
      <c r="A63" s="558">
        <v>45</v>
      </c>
      <c r="B63" s="635" t="s">
        <v>1330</v>
      </c>
      <c r="C63" s="642" t="s">
        <v>1329</v>
      </c>
      <c r="D63" s="1531" t="s">
        <v>2469</v>
      </c>
      <c r="E63" s="1531"/>
      <c r="F63" s="644">
        <v>24369</v>
      </c>
      <c r="G63" s="641"/>
      <c r="H63" s="638">
        <v>138</v>
      </c>
    </row>
    <row r="64" spans="1:8" ht="50.1" hidden="1" customHeight="1" thickBot="1">
      <c r="A64" s="558">
        <v>46</v>
      </c>
      <c r="B64" s="635" t="s">
        <v>1371</v>
      </c>
      <c r="C64" s="628" t="s">
        <v>1306</v>
      </c>
      <c r="D64" s="1531" t="s">
        <v>2469</v>
      </c>
      <c r="E64" s="1531"/>
      <c r="F64" s="631" t="s">
        <v>1373</v>
      </c>
      <c r="G64" s="650"/>
      <c r="H64" s="651">
        <v>138</v>
      </c>
    </row>
    <row r="65" spans="1:8" ht="50.1" hidden="1" customHeight="1" thickBot="1">
      <c r="A65" s="558">
        <v>47</v>
      </c>
      <c r="B65" s="635" t="s">
        <v>1423</v>
      </c>
      <c r="C65" s="628" t="s">
        <v>528</v>
      </c>
      <c r="D65" s="1531" t="s">
        <v>2461</v>
      </c>
      <c r="E65" s="1531"/>
      <c r="F65" s="631" t="s">
        <v>1425</v>
      </c>
      <c r="G65" s="637"/>
      <c r="H65" s="651">
        <v>138</v>
      </c>
    </row>
    <row r="66" spans="1:8" ht="50.1" hidden="1" customHeight="1" thickBot="1">
      <c r="A66" s="558">
        <v>48</v>
      </c>
      <c r="B66" s="635" t="s">
        <v>1380</v>
      </c>
      <c r="C66" s="642" t="s">
        <v>1251</v>
      </c>
      <c r="D66" s="1531" t="s">
        <v>2470</v>
      </c>
      <c r="E66" s="1531"/>
      <c r="F66" s="635" t="s">
        <v>1382</v>
      </c>
      <c r="G66" s="650"/>
      <c r="H66" s="651">
        <v>138</v>
      </c>
    </row>
    <row r="67" spans="1:8" ht="50.1" hidden="1" customHeight="1" thickBot="1">
      <c r="A67" s="558">
        <v>49</v>
      </c>
      <c r="B67" s="635" t="s">
        <v>1402</v>
      </c>
      <c r="C67" s="628" t="s">
        <v>1401</v>
      </c>
      <c r="D67" s="1531" t="s">
        <v>2471</v>
      </c>
      <c r="E67" s="1531"/>
      <c r="F67" s="635" t="s">
        <v>1298</v>
      </c>
      <c r="G67" s="637"/>
      <c r="H67" s="651">
        <v>138</v>
      </c>
    </row>
    <row r="68" spans="1:8" ht="50.1" hidden="1" customHeight="1" thickBot="1">
      <c r="A68" s="558">
        <v>50</v>
      </c>
      <c r="B68" s="643" t="s">
        <v>1416</v>
      </c>
      <c r="C68" s="642" t="s">
        <v>1413</v>
      </c>
      <c r="D68" s="1531" t="s">
        <v>2472</v>
      </c>
      <c r="E68" s="1531"/>
      <c r="F68" s="657"/>
      <c r="G68" s="641" t="s">
        <v>1417</v>
      </c>
      <c r="H68" s="652"/>
    </row>
    <row r="69" spans="1:8" ht="50.1" hidden="1" customHeight="1" thickBot="1">
      <c r="A69" s="558">
        <v>51</v>
      </c>
      <c r="B69" s="635" t="s">
        <v>1420</v>
      </c>
      <c r="C69" s="628" t="s">
        <v>517</v>
      </c>
      <c r="D69" s="1531" t="s">
        <v>2449</v>
      </c>
      <c r="E69" s="1531"/>
      <c r="F69" s="636">
        <v>95826</v>
      </c>
      <c r="G69" s="637"/>
      <c r="H69" s="651">
        <v>138</v>
      </c>
    </row>
    <row r="70" spans="1:8" ht="50.1" hidden="1" customHeight="1" thickBot="1">
      <c r="A70" s="558">
        <v>52</v>
      </c>
      <c r="B70" s="635" t="s">
        <v>1429</v>
      </c>
      <c r="C70" s="642" t="s">
        <v>1427</v>
      </c>
      <c r="D70" s="1531" t="s">
        <v>2473</v>
      </c>
      <c r="E70" s="1531"/>
      <c r="F70" s="658"/>
      <c r="G70" s="637" t="s">
        <v>1305</v>
      </c>
      <c r="H70" s="651"/>
    </row>
    <row r="71" spans="1:8" ht="50.1" hidden="1" customHeight="1" thickBot="1">
      <c r="A71" s="558">
        <v>53</v>
      </c>
      <c r="B71" s="635" t="s">
        <v>1432</v>
      </c>
      <c r="C71" s="642" t="s">
        <v>1427</v>
      </c>
      <c r="D71" s="1531" t="s">
        <v>2474</v>
      </c>
      <c r="E71" s="1531"/>
      <c r="F71" s="658"/>
      <c r="G71" s="637" t="s">
        <v>1433</v>
      </c>
      <c r="H71" s="651"/>
    </row>
    <row r="72" spans="1:8" ht="50.1" hidden="1" customHeight="1" thickBot="1">
      <c r="A72" s="558">
        <v>54</v>
      </c>
      <c r="B72" s="643" t="s">
        <v>1437</v>
      </c>
      <c r="C72" s="642" t="s">
        <v>1435</v>
      </c>
      <c r="D72" s="1531" t="s">
        <v>2462</v>
      </c>
      <c r="E72" s="1531"/>
      <c r="F72" s="640" t="s">
        <v>1439</v>
      </c>
      <c r="G72" s="641"/>
      <c r="H72" s="651">
        <v>138</v>
      </c>
    </row>
    <row r="73" spans="1:8" ht="50.1" hidden="1" customHeight="1" thickBot="1">
      <c r="A73" s="558">
        <v>55</v>
      </c>
      <c r="B73" s="643" t="s">
        <v>1451</v>
      </c>
      <c r="C73" s="628" t="s">
        <v>1450</v>
      </c>
      <c r="D73" s="1531" t="s">
        <v>2475</v>
      </c>
      <c r="E73" s="1531"/>
      <c r="F73" s="640" t="s">
        <v>1453</v>
      </c>
      <c r="G73" s="641"/>
      <c r="H73" s="651">
        <v>138</v>
      </c>
    </row>
    <row r="74" spans="1:8" ht="50.1" hidden="1" customHeight="1" thickBot="1">
      <c r="A74" s="558">
        <v>56</v>
      </c>
      <c r="B74" s="643" t="s">
        <v>1458</v>
      </c>
      <c r="C74" s="642" t="s">
        <v>1456</v>
      </c>
      <c r="D74" s="1531" t="s">
        <v>2476</v>
      </c>
      <c r="E74" s="1531"/>
      <c r="F74" s="644">
        <v>70000</v>
      </c>
      <c r="G74" s="641"/>
      <c r="H74" s="651">
        <v>138</v>
      </c>
    </row>
    <row r="75" spans="1:8" ht="50.1" hidden="1" customHeight="1" thickBot="1">
      <c r="A75" s="558">
        <v>57</v>
      </c>
      <c r="B75" s="643" t="s">
        <v>1463</v>
      </c>
      <c r="C75" s="642" t="s">
        <v>1462</v>
      </c>
      <c r="D75" s="1531" t="s">
        <v>2476</v>
      </c>
      <c r="E75" s="1531"/>
      <c r="F75" s="644">
        <v>89901</v>
      </c>
      <c r="G75" s="641"/>
      <c r="H75" s="651">
        <v>138</v>
      </c>
    </row>
    <row r="76" spans="1:8" ht="50.1" hidden="1" customHeight="1" thickBot="1">
      <c r="A76" s="558">
        <v>58</v>
      </c>
      <c r="B76" s="635" t="s">
        <v>1500</v>
      </c>
      <c r="C76" s="628" t="s">
        <v>1498</v>
      </c>
      <c r="D76" s="1531" t="s">
        <v>2491</v>
      </c>
      <c r="E76" s="1531"/>
      <c r="F76" s="653">
        <v>35000</v>
      </c>
      <c r="G76" s="637"/>
      <c r="H76" s="651">
        <v>138</v>
      </c>
    </row>
    <row r="77" spans="1:8" ht="50.1" hidden="1" customHeight="1" thickBot="1">
      <c r="A77" s="558">
        <v>59</v>
      </c>
      <c r="B77" s="635" t="s">
        <v>1504</v>
      </c>
      <c r="C77" s="628" t="s">
        <v>1498</v>
      </c>
      <c r="D77" s="1531" t="s">
        <v>2491</v>
      </c>
      <c r="E77" s="1531"/>
      <c r="F77" s="653">
        <v>25000</v>
      </c>
      <c r="G77" s="637"/>
      <c r="H77" s="651">
        <v>138</v>
      </c>
    </row>
    <row r="78" spans="1:8" ht="50.1" hidden="1" customHeight="1" thickBot="1">
      <c r="A78" s="558">
        <v>60</v>
      </c>
      <c r="B78" s="635" t="s">
        <v>1610</v>
      </c>
      <c r="C78" s="628" t="s">
        <v>1609</v>
      </c>
      <c r="D78" s="1531" t="s">
        <v>2477</v>
      </c>
      <c r="E78" s="1531"/>
      <c r="F78" s="631" t="s">
        <v>1612</v>
      </c>
      <c r="G78" s="637"/>
      <c r="H78" s="651">
        <v>138</v>
      </c>
    </row>
    <row r="79" spans="1:8" ht="50.1" hidden="1" customHeight="1" thickBot="1">
      <c r="A79" s="558">
        <v>61</v>
      </c>
      <c r="B79" s="635" t="s">
        <v>1604</v>
      </c>
      <c r="C79" s="628" t="s">
        <v>1602</v>
      </c>
      <c r="D79" s="1531" t="s">
        <v>2477</v>
      </c>
      <c r="E79" s="1531"/>
      <c r="F79" s="631" t="s">
        <v>1606</v>
      </c>
      <c r="G79" s="637"/>
      <c r="H79" s="651">
        <v>138</v>
      </c>
    </row>
    <row r="80" spans="1:8" ht="50.1" hidden="1" customHeight="1" thickBot="1">
      <c r="A80" s="558">
        <v>62</v>
      </c>
      <c r="B80" s="660" t="s">
        <v>1367</v>
      </c>
      <c r="C80" s="661" t="s">
        <v>1364</v>
      </c>
      <c r="D80" s="1548"/>
      <c r="E80" s="1548"/>
      <c r="F80" s="635"/>
      <c r="G80" s="637" t="s">
        <v>1368</v>
      </c>
      <c r="H80" s="654"/>
    </row>
    <row r="81" spans="1:9" ht="50.1" hidden="1" customHeight="1" thickBot="1">
      <c r="A81" s="558">
        <v>63</v>
      </c>
      <c r="B81" s="640" t="s">
        <v>1407</v>
      </c>
      <c r="C81" s="642" t="s">
        <v>1405</v>
      </c>
      <c r="D81" s="1531" t="s">
        <v>2492</v>
      </c>
      <c r="E81" s="1531"/>
      <c r="F81" s="647" t="s">
        <v>1408</v>
      </c>
      <c r="G81" s="641" t="s">
        <v>1409</v>
      </c>
      <c r="H81" s="654"/>
    </row>
    <row r="82" spans="1:9" ht="50.1" hidden="1" customHeight="1" thickBot="1">
      <c r="A82" s="558">
        <v>64</v>
      </c>
      <c r="B82" s="640" t="s">
        <v>1411</v>
      </c>
      <c r="C82" s="642" t="s">
        <v>1405</v>
      </c>
      <c r="D82" s="1531" t="s">
        <v>2492</v>
      </c>
      <c r="E82" s="1531"/>
      <c r="F82" s="647" t="s">
        <v>1412</v>
      </c>
      <c r="G82" s="641" t="s">
        <v>1409</v>
      </c>
      <c r="H82" s="654"/>
    </row>
    <row r="83" spans="1:9" ht="50.1" hidden="1" customHeight="1" thickBot="1">
      <c r="A83" s="558">
        <v>65</v>
      </c>
      <c r="B83" s="656"/>
      <c r="C83" s="659" t="s">
        <v>1569</v>
      </c>
      <c r="D83" s="1548"/>
      <c r="E83" s="1548"/>
      <c r="F83" s="658"/>
      <c r="G83" s="637" t="s">
        <v>1572</v>
      </c>
      <c r="H83" s="655"/>
    </row>
    <row r="84" spans="1:9" ht="50.1" hidden="1" customHeight="1" thickBot="1">
      <c r="A84" s="558">
        <v>66</v>
      </c>
      <c r="B84" s="635" t="s">
        <v>1576</v>
      </c>
      <c r="C84" s="628" t="s">
        <v>1574</v>
      </c>
      <c r="D84" s="1531" t="s">
        <v>2493</v>
      </c>
      <c r="E84" s="1531"/>
      <c r="F84" s="658"/>
      <c r="G84" s="650"/>
      <c r="H84" s="655"/>
    </row>
    <row r="85" spans="1:9" hidden="1">
      <c r="A85" s="377" t="s">
        <v>2540</v>
      </c>
    </row>
    <row r="86" spans="1:9" hidden="1">
      <c r="A86" s="377"/>
      <c r="B86" s="394"/>
      <c r="C86" s="394"/>
      <c r="F86" s="394"/>
      <c r="G86" s="394"/>
      <c r="H86" s="394"/>
      <c r="I86" s="394"/>
    </row>
    <row r="87" spans="1:9" s="394" customFormat="1" hidden="1">
      <c r="A87" s="377"/>
      <c r="D87" s="144"/>
      <c r="E87" s="144"/>
    </row>
    <row r="88" spans="1:9" s="394" customFormat="1" hidden="1">
      <c r="A88" s="377"/>
      <c r="D88" s="144"/>
      <c r="E88" s="144"/>
    </row>
    <row r="89" spans="1:9" s="394" customFormat="1" hidden="1">
      <c r="A89" s="377"/>
      <c r="D89" s="144"/>
      <c r="E89" s="144"/>
    </row>
    <row r="90" spans="1:9" s="394" customFormat="1" hidden="1">
      <c r="A90" s="377"/>
      <c r="D90" s="144"/>
      <c r="E90" s="144"/>
    </row>
    <row r="91" spans="1:9" s="394" customFormat="1" hidden="1">
      <c r="A91" s="377"/>
      <c r="D91" s="144"/>
      <c r="E91" s="144"/>
    </row>
    <row r="92" spans="1:9" s="394" customFormat="1" hidden="1">
      <c r="A92" s="377"/>
      <c r="D92" s="144"/>
      <c r="E92" s="144"/>
    </row>
    <row r="93" spans="1:9" s="394" customFormat="1" hidden="1">
      <c r="A93" s="377"/>
      <c r="D93" s="144"/>
      <c r="E93" s="144"/>
    </row>
    <row r="94" spans="1:9" s="394" customFormat="1" hidden="1">
      <c r="A94" s="377"/>
      <c r="D94" s="144"/>
      <c r="E94" s="144"/>
    </row>
    <row r="95" spans="1:9" s="394" customFormat="1" hidden="1">
      <c r="A95" s="377"/>
      <c r="D95" s="144"/>
      <c r="E95" s="144"/>
    </row>
    <row r="96" spans="1:9" s="394" customFormat="1" hidden="1">
      <c r="A96" s="377"/>
      <c r="D96" s="144"/>
      <c r="E96" s="144"/>
    </row>
    <row r="97" spans="1:5" s="394" customFormat="1" hidden="1">
      <c r="A97" s="377"/>
      <c r="D97" s="144"/>
      <c r="E97" s="144"/>
    </row>
    <row r="98" spans="1:5" s="394" customFormat="1" hidden="1">
      <c r="A98" s="377"/>
      <c r="D98" s="144"/>
      <c r="E98" s="144"/>
    </row>
    <row r="99" spans="1:5" s="394" customFormat="1" hidden="1">
      <c r="A99" s="377"/>
      <c r="D99" s="144"/>
      <c r="E99" s="144"/>
    </row>
    <row r="100" spans="1:5" s="394" customFormat="1" hidden="1">
      <c r="A100" s="377"/>
      <c r="D100" s="144"/>
      <c r="E100" s="144"/>
    </row>
    <row r="101" spans="1:5" s="394" customFormat="1" hidden="1">
      <c r="A101" s="377"/>
      <c r="D101" s="144"/>
      <c r="E101" s="144"/>
    </row>
    <row r="102" spans="1:5" s="394" customFormat="1" hidden="1">
      <c r="A102" s="377"/>
      <c r="D102" s="144"/>
      <c r="E102" s="144"/>
    </row>
    <row r="103" spans="1:5" s="394" customFormat="1" hidden="1">
      <c r="A103" s="377"/>
      <c r="D103" s="144"/>
      <c r="E103" s="144"/>
    </row>
    <row r="104" spans="1:5" s="394" customFormat="1" hidden="1">
      <c r="A104" s="377"/>
      <c r="D104" s="144"/>
      <c r="E104" s="144"/>
    </row>
    <row r="105" spans="1:5" s="394" customFormat="1" hidden="1">
      <c r="A105" s="377"/>
      <c r="D105" s="144"/>
      <c r="E105" s="144"/>
    </row>
    <row r="106" spans="1:5" s="394" customFormat="1" hidden="1">
      <c r="A106" s="377"/>
      <c r="D106" s="144"/>
      <c r="E106" s="144"/>
    </row>
    <row r="107" spans="1:5" s="394" customFormat="1" hidden="1">
      <c r="A107" s="377"/>
      <c r="D107" s="144"/>
      <c r="E107" s="144"/>
    </row>
    <row r="108" spans="1:5" s="394" customFormat="1" hidden="1">
      <c r="A108" s="377"/>
      <c r="D108" s="144"/>
      <c r="E108" s="144"/>
    </row>
    <row r="109" spans="1:5" s="394" customFormat="1" hidden="1">
      <c r="A109" s="377"/>
      <c r="D109" s="144"/>
      <c r="E109" s="144"/>
    </row>
    <row r="110" spans="1:5" s="394" customFormat="1" hidden="1">
      <c r="A110" s="377"/>
      <c r="D110" s="144"/>
      <c r="E110" s="144"/>
    </row>
    <row r="111" spans="1:5" s="394" customFormat="1" hidden="1">
      <c r="A111" s="377"/>
      <c r="D111" s="144"/>
      <c r="E111" s="144"/>
    </row>
    <row r="112" spans="1:5" s="394" customFormat="1" hidden="1">
      <c r="A112" s="377"/>
      <c r="D112" s="144"/>
      <c r="E112" s="144"/>
    </row>
    <row r="113" spans="1:5" s="394" customFormat="1" hidden="1">
      <c r="A113" s="377"/>
      <c r="D113" s="144"/>
      <c r="E113" s="144"/>
    </row>
    <row r="114" spans="1:5" s="394" customFormat="1" hidden="1">
      <c r="A114" s="377"/>
      <c r="D114" s="144"/>
      <c r="E114" s="144"/>
    </row>
    <row r="115" spans="1:5" s="394" customFormat="1" hidden="1">
      <c r="A115" s="377"/>
      <c r="D115" s="144"/>
      <c r="E115" s="144"/>
    </row>
    <row r="116" spans="1:5" s="394" customFormat="1" hidden="1">
      <c r="A116" s="377"/>
      <c r="D116" s="144"/>
      <c r="E116" s="144"/>
    </row>
    <row r="117" spans="1:5" s="394" customFormat="1" hidden="1">
      <c r="A117" s="377"/>
      <c r="D117" s="144"/>
      <c r="E117" s="144"/>
    </row>
    <row r="118" spans="1:5" s="394" customFormat="1" hidden="1">
      <c r="A118" s="377"/>
      <c r="D118" s="144"/>
      <c r="E118" s="144"/>
    </row>
    <row r="119" spans="1:5" s="394" customFormat="1" hidden="1">
      <c r="A119" s="377"/>
      <c r="D119" s="144"/>
      <c r="E119" s="144"/>
    </row>
    <row r="120" spans="1:5" s="394" customFormat="1" hidden="1">
      <c r="A120" s="377"/>
      <c r="D120" s="144"/>
      <c r="E120" s="144"/>
    </row>
    <row r="121" spans="1:5" s="394" customFormat="1" hidden="1">
      <c r="A121" s="377"/>
      <c r="D121" s="144"/>
      <c r="E121" s="144"/>
    </row>
    <row r="122" spans="1:5" s="394" customFormat="1" hidden="1">
      <c r="A122" s="377"/>
      <c r="D122" s="144"/>
      <c r="E122" s="144"/>
    </row>
    <row r="123" spans="1:5" s="394" customFormat="1" hidden="1">
      <c r="A123" s="377"/>
      <c r="D123" s="144"/>
      <c r="E123" s="144"/>
    </row>
    <row r="124" spans="1:5" s="394" customFormat="1" hidden="1">
      <c r="A124" s="377"/>
      <c r="D124" s="144"/>
      <c r="E124" s="144"/>
    </row>
    <row r="125" spans="1:5" s="394" customFormat="1" hidden="1">
      <c r="A125" s="377"/>
      <c r="D125" s="144"/>
      <c r="E125" s="144"/>
    </row>
    <row r="126" spans="1:5" s="394" customFormat="1" hidden="1">
      <c r="A126" s="377"/>
      <c r="D126" s="144"/>
      <c r="E126" s="144"/>
    </row>
    <row r="127" spans="1:5" s="394" customFormat="1" hidden="1">
      <c r="A127" s="377"/>
      <c r="D127" s="144"/>
      <c r="E127" s="144"/>
    </row>
    <row r="128" spans="1:5" s="394" customFormat="1" hidden="1">
      <c r="A128" s="377"/>
      <c r="D128" s="144"/>
      <c r="E128" s="144"/>
    </row>
    <row r="129" spans="1:5" s="394" customFormat="1" hidden="1">
      <c r="A129" s="377"/>
      <c r="D129" s="144"/>
      <c r="E129" s="144"/>
    </row>
    <row r="130" spans="1:5" s="394" customFormat="1" hidden="1">
      <c r="A130" s="377"/>
      <c r="D130" s="144"/>
      <c r="E130" s="144"/>
    </row>
    <row r="131" spans="1:5" s="394" customFormat="1" hidden="1">
      <c r="A131" s="377"/>
      <c r="D131" s="144"/>
      <c r="E131" s="144"/>
    </row>
    <row r="132" spans="1:5" s="394" customFormat="1" hidden="1">
      <c r="A132" s="377"/>
      <c r="D132" s="144"/>
      <c r="E132" s="144"/>
    </row>
    <row r="133" spans="1:5" s="394" customFormat="1" hidden="1">
      <c r="A133" s="377"/>
      <c r="D133" s="144"/>
      <c r="E133" s="144"/>
    </row>
    <row r="134" spans="1:5" s="394" customFormat="1" hidden="1">
      <c r="A134" s="377"/>
      <c r="D134" s="144"/>
      <c r="E134" s="144"/>
    </row>
    <row r="135" spans="1:5" s="394" customFormat="1" hidden="1">
      <c r="A135" s="377"/>
      <c r="D135" s="144"/>
      <c r="E135" s="144"/>
    </row>
    <row r="136" spans="1:5" s="394" customFormat="1" hidden="1">
      <c r="A136" s="377"/>
      <c r="D136" s="144"/>
      <c r="E136" s="144"/>
    </row>
    <row r="137" spans="1:5" s="394" customFormat="1" hidden="1">
      <c r="A137" s="377"/>
      <c r="D137" s="144"/>
      <c r="E137" s="144"/>
    </row>
    <row r="138" spans="1:5" s="394" customFormat="1" hidden="1">
      <c r="A138" s="377"/>
      <c r="D138" s="144"/>
      <c r="E138" s="144"/>
    </row>
    <row r="139" spans="1:5" s="394" customFormat="1" hidden="1">
      <c r="A139" s="377"/>
      <c r="D139" s="144"/>
      <c r="E139" s="144"/>
    </row>
    <row r="140" spans="1:5" s="394" customFormat="1" hidden="1">
      <c r="A140" s="377"/>
      <c r="D140" s="144"/>
      <c r="E140" s="144"/>
    </row>
    <row r="141" spans="1:5" s="394" customFormat="1" hidden="1">
      <c r="A141" s="377"/>
      <c r="D141" s="144"/>
      <c r="E141" s="144"/>
    </row>
    <row r="142" spans="1:5" s="394" customFormat="1" hidden="1">
      <c r="A142" s="377"/>
      <c r="D142" s="144"/>
      <c r="E142" s="144"/>
    </row>
    <row r="143" spans="1:5" s="394" customFormat="1" hidden="1">
      <c r="A143" s="377"/>
      <c r="D143" s="144"/>
      <c r="E143" s="144"/>
    </row>
    <row r="144" spans="1:5" s="394" customFormat="1" hidden="1">
      <c r="A144" s="377"/>
      <c r="D144" s="144"/>
      <c r="E144" s="144"/>
    </row>
    <row r="145" spans="1:5" s="394" customFormat="1" hidden="1">
      <c r="A145" s="377"/>
      <c r="D145" s="144"/>
      <c r="E145" s="144"/>
    </row>
    <row r="146" spans="1:5" s="394" customFormat="1" hidden="1">
      <c r="A146" s="377"/>
      <c r="D146" s="144"/>
      <c r="E146" s="144"/>
    </row>
    <row r="147" spans="1:5" s="394" customFormat="1" hidden="1">
      <c r="A147" s="377"/>
      <c r="D147" s="144"/>
      <c r="E147" s="144"/>
    </row>
    <row r="148" spans="1:5" s="394" customFormat="1" hidden="1">
      <c r="A148" s="377"/>
      <c r="D148" s="144"/>
      <c r="E148" s="144"/>
    </row>
    <row r="149" spans="1:5" s="394" customFormat="1" hidden="1">
      <c r="A149" s="377"/>
      <c r="D149" s="144"/>
      <c r="E149" s="144"/>
    </row>
    <row r="150" spans="1:5" s="394" customFormat="1" hidden="1">
      <c r="A150" s="377"/>
      <c r="D150" s="144"/>
      <c r="E150" s="144"/>
    </row>
    <row r="151" spans="1:5" s="394" customFormat="1" hidden="1">
      <c r="A151" s="377"/>
      <c r="D151" s="144"/>
      <c r="E151" s="144"/>
    </row>
    <row r="152" spans="1:5" s="394" customFormat="1" hidden="1">
      <c r="A152" s="377"/>
      <c r="D152" s="144"/>
      <c r="E152" s="144"/>
    </row>
    <row r="153" spans="1:5" s="394" customFormat="1" hidden="1">
      <c r="A153" s="377"/>
      <c r="D153" s="144"/>
      <c r="E153" s="144"/>
    </row>
    <row r="154" spans="1:5" s="394" customFormat="1" hidden="1">
      <c r="A154" s="377"/>
      <c r="D154" s="144"/>
      <c r="E154" s="144"/>
    </row>
    <row r="155" spans="1:5" s="394" customFormat="1" hidden="1">
      <c r="A155" s="377"/>
      <c r="D155" s="144"/>
      <c r="E155" s="144"/>
    </row>
    <row r="156" spans="1:5" s="394" customFormat="1" hidden="1">
      <c r="A156" s="377"/>
      <c r="D156" s="144"/>
      <c r="E156" s="144"/>
    </row>
    <row r="157" spans="1:5" s="394" customFormat="1" hidden="1">
      <c r="A157" s="377"/>
      <c r="D157" s="144"/>
      <c r="E157" s="144"/>
    </row>
    <row r="158" spans="1:5" s="394" customFormat="1" hidden="1">
      <c r="A158" s="377"/>
      <c r="D158" s="144"/>
      <c r="E158" s="144"/>
    </row>
    <row r="159" spans="1:5" s="394" customFormat="1" hidden="1">
      <c r="A159" s="377"/>
      <c r="D159" s="144"/>
      <c r="E159" s="144"/>
    </row>
    <row r="160" spans="1:5" s="394" customFormat="1" hidden="1">
      <c r="A160" s="377"/>
      <c r="D160" s="144"/>
      <c r="E160" s="144"/>
    </row>
    <row r="161" spans="1:5" s="394" customFormat="1" hidden="1">
      <c r="A161" s="377"/>
      <c r="D161" s="144"/>
      <c r="E161" s="144"/>
    </row>
    <row r="162" spans="1:5" s="394" customFormat="1" hidden="1">
      <c r="A162" s="377"/>
      <c r="D162" s="144"/>
      <c r="E162" s="144"/>
    </row>
    <row r="163" spans="1:5" s="394" customFormat="1" hidden="1">
      <c r="A163" s="377"/>
      <c r="D163" s="144"/>
      <c r="E163" s="144"/>
    </row>
    <row r="164" spans="1:5" s="394" customFormat="1" hidden="1">
      <c r="A164" s="377"/>
      <c r="D164" s="144"/>
      <c r="E164" s="144"/>
    </row>
    <row r="165" spans="1:5" s="394" customFormat="1" hidden="1">
      <c r="A165" s="377"/>
      <c r="D165" s="144"/>
      <c r="E165" s="144"/>
    </row>
    <row r="166" spans="1:5" s="394" customFormat="1" hidden="1">
      <c r="A166" s="377"/>
      <c r="D166" s="144"/>
      <c r="E166" s="144"/>
    </row>
    <row r="167" spans="1:5" s="394" customFormat="1" hidden="1">
      <c r="A167" s="377"/>
      <c r="D167" s="144"/>
      <c r="E167" s="144"/>
    </row>
    <row r="168" spans="1:5" s="394" customFormat="1" hidden="1">
      <c r="A168" s="377"/>
      <c r="D168" s="144"/>
      <c r="E168" s="144"/>
    </row>
    <row r="169" spans="1:5" s="394" customFormat="1" hidden="1">
      <c r="A169" s="377"/>
      <c r="D169" s="144"/>
      <c r="E169" s="144"/>
    </row>
    <row r="170" spans="1:5" s="394" customFormat="1" hidden="1">
      <c r="A170" s="377"/>
      <c r="D170" s="144"/>
      <c r="E170" s="144"/>
    </row>
    <row r="171" spans="1:5" s="394" customFormat="1" hidden="1">
      <c r="A171" s="377"/>
      <c r="D171" s="144"/>
      <c r="E171" s="144"/>
    </row>
    <row r="172" spans="1:5" s="394" customFormat="1" hidden="1">
      <c r="A172" s="377"/>
      <c r="D172" s="144"/>
      <c r="E172" s="144"/>
    </row>
    <row r="173" spans="1:5" s="394" customFormat="1" hidden="1">
      <c r="A173" s="377"/>
      <c r="D173" s="144"/>
      <c r="E173" s="144"/>
    </row>
    <row r="174" spans="1:5" s="394" customFormat="1" hidden="1">
      <c r="A174" s="377"/>
      <c r="D174" s="144"/>
      <c r="E174" s="144"/>
    </row>
    <row r="175" spans="1:5" s="394" customFormat="1" hidden="1">
      <c r="A175" s="377"/>
      <c r="D175" s="144"/>
      <c r="E175" s="144"/>
    </row>
    <row r="176" spans="1:5" s="394" customFormat="1" hidden="1">
      <c r="A176" s="377"/>
      <c r="D176" s="144"/>
      <c r="E176" s="144"/>
    </row>
    <row r="177" spans="1:9" s="394" customFormat="1" hidden="1">
      <c r="A177" s="377"/>
      <c r="D177" s="144"/>
      <c r="E177" s="144"/>
    </row>
    <row r="178" spans="1:9" s="394" customFormat="1" hidden="1">
      <c r="A178" s="377"/>
      <c r="D178" s="144"/>
      <c r="E178" s="144"/>
    </row>
    <row r="179" spans="1:9" s="394" customFormat="1" hidden="1">
      <c r="A179" s="377"/>
      <c r="D179" s="144"/>
      <c r="E179" s="144"/>
    </row>
    <row r="180" spans="1:9" s="394" customFormat="1" hidden="1">
      <c r="A180" s="377"/>
      <c r="D180" s="144"/>
      <c r="E180" s="144"/>
    </row>
    <row r="181" spans="1:9" s="394" customFormat="1" hidden="1">
      <c r="A181" s="377"/>
      <c r="D181" s="144"/>
      <c r="E181" s="144"/>
    </row>
    <row r="182" spans="1:9" s="394" customFormat="1" hidden="1">
      <c r="A182" s="377"/>
      <c r="D182" s="144"/>
      <c r="E182" s="144"/>
    </row>
    <row r="183" spans="1:9" s="394" customFormat="1" hidden="1">
      <c r="A183" s="377"/>
      <c r="D183" s="144"/>
      <c r="E183" s="144"/>
    </row>
    <row r="184" spans="1:9" s="394" customFormat="1" hidden="1">
      <c r="A184" s="377"/>
      <c r="D184" s="144"/>
      <c r="E184" s="144"/>
    </row>
    <row r="185" spans="1:9" s="394" customFormat="1" hidden="1">
      <c r="A185" s="377"/>
      <c r="D185" s="144"/>
      <c r="E185" s="144"/>
    </row>
    <row r="186" spans="1:9" ht="15.75" hidden="1" customHeight="1">
      <c r="A186" s="1530"/>
      <c r="B186" s="1530"/>
      <c r="C186" s="1530"/>
      <c r="D186" s="1530"/>
      <c r="E186" s="1530"/>
      <c r="F186" s="1530"/>
      <c r="G186" s="394"/>
      <c r="H186" s="394"/>
      <c r="I186" s="394"/>
    </row>
    <row r="187" spans="1:9" ht="15.75" hidden="1">
      <c r="A187" s="380"/>
      <c r="B187" s="1420"/>
      <c r="C187" s="1420"/>
      <c r="D187" s="1420"/>
      <c r="E187" s="1420"/>
      <c r="F187" s="1420"/>
      <c r="G187" s="394"/>
      <c r="H187" s="394"/>
      <c r="I187" s="394"/>
    </row>
    <row r="188" spans="1:9" s="228" customFormat="1" ht="16.5" hidden="1" thickBot="1">
      <c r="A188" s="120"/>
      <c r="B188" s="120"/>
      <c r="C188" s="120"/>
      <c r="D188" s="120"/>
      <c r="E188" s="120"/>
      <c r="F188" s="120"/>
      <c r="G188" s="394"/>
      <c r="H188" s="394"/>
      <c r="I188" s="394"/>
    </row>
    <row r="189" spans="1:9" ht="62.25" hidden="1" customHeight="1" thickBot="1">
      <c r="A189" s="623"/>
      <c r="B189" s="623"/>
      <c r="C189" s="624"/>
      <c r="D189" s="625"/>
      <c r="E189" s="626"/>
      <c r="F189" s="627"/>
      <c r="G189" s="394"/>
      <c r="H189" s="394"/>
      <c r="I189" s="394"/>
    </row>
    <row r="190" spans="1:9" ht="45" hidden="1" customHeight="1" thickBot="1">
      <c r="A190" s="547"/>
      <c r="B190" s="547"/>
      <c r="C190" s="551"/>
      <c r="D190" s="550"/>
      <c r="E190" s="559"/>
      <c r="F190" s="560"/>
      <c r="G190" s="394"/>
      <c r="H190" s="394"/>
      <c r="I190" s="394"/>
    </row>
    <row r="191" spans="1:9" ht="37.5" hidden="1" customHeight="1" thickBot="1">
      <c r="A191" s="547"/>
      <c r="B191" s="547"/>
      <c r="C191" s="549"/>
      <c r="D191" s="550"/>
      <c r="E191" s="545"/>
      <c r="F191" s="546"/>
      <c r="G191" s="394"/>
      <c r="H191" s="394"/>
      <c r="I191" s="394"/>
    </row>
    <row r="192" spans="1:9" ht="42.75" hidden="1" customHeight="1" thickBot="1">
      <c r="A192" s="547"/>
      <c r="B192" s="547"/>
      <c r="C192" s="551"/>
      <c r="D192" s="550"/>
      <c r="E192" s="545"/>
      <c r="F192" s="545"/>
      <c r="G192" s="394"/>
      <c r="H192" s="394"/>
      <c r="I192" s="394"/>
    </row>
    <row r="193" spans="1:9" ht="51" hidden="1" customHeight="1" thickBot="1">
      <c r="A193" s="547"/>
      <c r="B193" s="547"/>
      <c r="C193" s="551"/>
      <c r="D193" s="550"/>
      <c r="E193" s="545"/>
      <c r="F193" s="545"/>
      <c r="G193" s="394"/>
      <c r="H193" s="394"/>
      <c r="I193" s="394"/>
    </row>
    <row r="194" spans="1:9" ht="42" hidden="1" customHeight="1" thickBot="1">
      <c r="A194" s="547"/>
      <c r="B194" s="547"/>
      <c r="C194" s="551"/>
      <c r="D194" s="550"/>
      <c r="E194" s="545"/>
      <c r="F194" s="546"/>
      <c r="G194" s="394"/>
      <c r="H194" s="394"/>
      <c r="I194" s="394"/>
    </row>
    <row r="195" spans="1:9" ht="42.75" hidden="1" customHeight="1" thickBot="1">
      <c r="A195" s="547"/>
      <c r="B195" s="547"/>
      <c r="C195" s="551"/>
      <c r="D195" s="550"/>
      <c r="E195" s="545"/>
      <c r="F195" s="546"/>
      <c r="G195" s="394"/>
      <c r="H195" s="394"/>
      <c r="I195" s="394"/>
    </row>
    <row r="196" spans="1:9" ht="38.25" hidden="1" customHeight="1" thickBot="1">
      <c r="A196" s="547"/>
      <c r="B196" s="547"/>
      <c r="C196" s="551"/>
      <c r="D196" s="550"/>
      <c r="E196" s="545"/>
      <c r="F196" s="546"/>
      <c r="G196" s="394"/>
      <c r="H196" s="394"/>
      <c r="I196" s="394"/>
    </row>
    <row r="197" spans="1:9" ht="36.75" hidden="1" customHeight="1" thickBot="1">
      <c r="A197" s="547"/>
      <c r="B197" s="547"/>
      <c r="C197" s="551"/>
      <c r="D197" s="550"/>
      <c r="E197" s="545"/>
      <c r="F197" s="546"/>
      <c r="G197" s="394"/>
      <c r="H197" s="394"/>
      <c r="I197" s="394"/>
    </row>
    <row r="198" spans="1:9" ht="36" hidden="1" customHeight="1" thickBot="1">
      <c r="A198" s="547"/>
      <c r="B198" s="547"/>
      <c r="C198" s="551"/>
      <c r="D198" s="550"/>
      <c r="E198" s="545"/>
      <c r="F198" s="546"/>
      <c r="G198" s="394"/>
      <c r="H198" s="394"/>
      <c r="I198" s="394"/>
    </row>
    <row r="199" spans="1:9" ht="38.25" hidden="1" customHeight="1" thickBot="1">
      <c r="A199" s="547"/>
      <c r="B199" s="547"/>
      <c r="C199" s="551"/>
      <c r="D199" s="550"/>
      <c r="E199" s="545"/>
      <c r="F199" s="546"/>
      <c r="G199" s="394"/>
      <c r="H199" s="394"/>
      <c r="I199" s="394"/>
    </row>
    <row r="200" spans="1:9" ht="42" hidden="1" customHeight="1" thickBot="1">
      <c r="A200" s="547"/>
      <c r="B200" s="547"/>
      <c r="C200" s="551"/>
      <c r="D200" s="550"/>
      <c r="E200" s="545"/>
      <c r="F200" s="546"/>
      <c r="G200" s="394"/>
      <c r="H200" s="394"/>
      <c r="I200" s="394"/>
    </row>
    <row r="201" spans="1:9" ht="45.75" hidden="1" customHeight="1" thickBot="1">
      <c r="A201" s="547"/>
      <c r="B201" s="547"/>
      <c r="C201" s="551"/>
      <c r="D201" s="550"/>
      <c r="E201" s="545"/>
      <c r="F201" s="548"/>
      <c r="G201" s="394"/>
      <c r="H201" s="394"/>
      <c r="I201" s="394"/>
    </row>
    <row r="202" spans="1:9" ht="42.75" hidden="1" customHeight="1" thickBot="1">
      <c r="A202" s="547"/>
      <c r="B202" s="547"/>
      <c r="C202" s="555"/>
      <c r="D202" s="554"/>
      <c r="E202" s="545"/>
      <c r="F202" s="546"/>
      <c r="G202" s="394"/>
      <c r="H202" s="394"/>
      <c r="I202" s="394"/>
    </row>
    <row r="203" spans="1:9" ht="33" hidden="1" customHeight="1" thickBot="1">
      <c r="A203" s="547"/>
      <c r="B203" s="547"/>
      <c r="C203" s="552"/>
      <c r="D203" s="553"/>
      <c r="E203" s="545"/>
      <c r="F203" s="546"/>
      <c r="G203" s="394"/>
      <c r="H203" s="394"/>
      <c r="I203" s="394"/>
    </row>
    <row r="204" spans="1:9" ht="39.75" hidden="1" customHeight="1" thickBot="1">
      <c r="A204" s="547"/>
      <c r="B204" s="555"/>
      <c r="C204" s="556"/>
      <c r="D204" s="556"/>
      <c r="E204" s="556"/>
      <c r="F204" s="557"/>
      <c r="G204" s="394"/>
      <c r="H204" s="394"/>
      <c r="I204" s="394"/>
    </row>
    <row r="205" spans="1:9" ht="40.5" hidden="1" customHeight="1" thickBot="1">
      <c r="A205" s="547"/>
      <c r="B205" s="555"/>
      <c r="C205" s="556"/>
      <c r="D205" s="556"/>
      <c r="E205" s="556"/>
      <c r="F205" s="557"/>
      <c r="G205" s="394"/>
      <c r="H205" s="394"/>
      <c r="I205" s="394"/>
    </row>
    <row r="206" spans="1:9" ht="44.25" hidden="1" customHeight="1" thickBot="1">
      <c r="A206" s="547"/>
      <c r="B206" s="555"/>
      <c r="C206" s="556"/>
      <c r="D206" s="556"/>
      <c r="E206" s="556"/>
      <c r="F206" s="557"/>
      <c r="G206" s="394"/>
      <c r="H206" s="394"/>
      <c r="I206" s="394"/>
    </row>
    <row r="207" spans="1:9" hidden="1">
      <c r="A207" s="377"/>
      <c r="B207" s="394"/>
      <c r="C207" s="394"/>
      <c r="F207" s="394"/>
      <c r="G207" s="394"/>
      <c r="H207" s="394"/>
      <c r="I207" s="394"/>
    </row>
    <row r="208" spans="1:9" ht="22.5" hidden="1" customHeight="1" thickBot="1">
      <c r="A208" s="1547"/>
      <c r="B208" s="1547"/>
      <c r="C208" s="1547"/>
      <c r="D208" s="1547"/>
      <c r="E208" s="1547"/>
      <c r="F208" s="1547"/>
      <c r="G208" s="394"/>
      <c r="H208" s="394"/>
      <c r="I208" s="394"/>
    </row>
    <row r="209" spans="1:9" ht="15.75" hidden="1" thickBot="1">
      <c r="A209" s="622"/>
      <c r="B209" s="622"/>
      <c r="C209" s="622"/>
      <c r="D209" s="622"/>
      <c r="E209" s="622"/>
      <c r="F209" s="558"/>
      <c r="G209" s="394"/>
      <c r="H209" s="394"/>
      <c r="I209" s="394"/>
    </row>
    <row r="210" spans="1:9" hidden="1">
      <c r="A210" s="377"/>
      <c r="B210" s="394"/>
      <c r="C210" s="394"/>
      <c r="F210" s="394"/>
      <c r="G210" s="394"/>
      <c r="H210" s="394"/>
      <c r="I210" s="394"/>
    </row>
    <row r="211" spans="1:9" hidden="1">
      <c r="A211" s="377"/>
      <c r="B211" s="394"/>
      <c r="C211" s="394"/>
      <c r="F211" s="394"/>
      <c r="G211" s="394"/>
      <c r="H211" s="394"/>
      <c r="I211" s="394"/>
    </row>
    <row r="212" spans="1:9">
      <c r="A212" s="377"/>
      <c r="B212" s="394"/>
      <c r="C212" s="394"/>
      <c r="F212" s="394"/>
      <c r="G212" s="394"/>
      <c r="H212" s="394"/>
      <c r="I212" s="394"/>
    </row>
  </sheetData>
  <mergeCells count="82">
    <mergeCell ref="D73:E73"/>
    <mergeCell ref="D74:E74"/>
    <mergeCell ref="A208:F208"/>
    <mergeCell ref="D80:E80"/>
    <mergeCell ref="D81:E81"/>
    <mergeCell ref="D82:E82"/>
    <mergeCell ref="D83:E83"/>
    <mergeCell ref="D84:E84"/>
    <mergeCell ref="D75:E75"/>
    <mergeCell ref="D76:E76"/>
    <mergeCell ref="D77:E77"/>
    <mergeCell ref="D78:E78"/>
    <mergeCell ref="D79:E79"/>
    <mergeCell ref="B187:F187"/>
    <mergeCell ref="A186:F186"/>
    <mergeCell ref="D68:E68"/>
    <mergeCell ref="D69:E69"/>
    <mergeCell ref="D70:E70"/>
    <mergeCell ref="D71:E71"/>
    <mergeCell ref="D72:E72"/>
    <mergeCell ref="D63:E63"/>
    <mergeCell ref="D64:E64"/>
    <mergeCell ref="D65:E65"/>
    <mergeCell ref="D66:E66"/>
    <mergeCell ref="D67:E67"/>
    <mergeCell ref="D58:E58"/>
    <mergeCell ref="D59:E59"/>
    <mergeCell ref="D60:E60"/>
    <mergeCell ref="D61:E61"/>
    <mergeCell ref="D62:E62"/>
    <mergeCell ref="D51:E51"/>
    <mergeCell ref="D52:E52"/>
    <mergeCell ref="D55:E55"/>
    <mergeCell ref="D56:E56"/>
    <mergeCell ref="D57:E57"/>
    <mergeCell ref="D46:E46"/>
    <mergeCell ref="D47:E47"/>
    <mergeCell ref="D48:E48"/>
    <mergeCell ref="D49:E49"/>
    <mergeCell ref="D50:E50"/>
    <mergeCell ref="D27:E27"/>
    <mergeCell ref="D28:E28"/>
    <mergeCell ref="D29:E29"/>
    <mergeCell ref="D30:E30"/>
    <mergeCell ref="D31:E31"/>
    <mergeCell ref="D32:E32"/>
    <mergeCell ref="D53:E53"/>
    <mergeCell ref="D54:E54"/>
    <mergeCell ref="D33:E33"/>
    <mergeCell ref="D34:E34"/>
    <mergeCell ref="D35:E35"/>
    <mergeCell ref="D36:E36"/>
    <mergeCell ref="D37:E37"/>
    <mergeCell ref="D38:E38"/>
    <mergeCell ref="D39:E39"/>
    <mergeCell ref="D40:E40"/>
    <mergeCell ref="D41:E41"/>
    <mergeCell ref="D42:E42"/>
    <mergeCell ref="D43:E43"/>
    <mergeCell ref="D44:E44"/>
    <mergeCell ref="D45:E45"/>
    <mergeCell ref="D11:F11"/>
    <mergeCell ref="D12:F12"/>
    <mergeCell ref="D13:F13"/>
    <mergeCell ref="A2:F2"/>
    <mergeCell ref="A4:F4"/>
    <mergeCell ref="A3:F3"/>
    <mergeCell ref="D6:F6"/>
    <mergeCell ref="D7:F7"/>
    <mergeCell ref="D8:F8"/>
    <mergeCell ref="D9:F9"/>
    <mergeCell ref="D10:F10"/>
    <mergeCell ref="A15:F15"/>
    <mergeCell ref="D23:E23"/>
    <mergeCell ref="D24:E24"/>
    <mergeCell ref="D25:E25"/>
    <mergeCell ref="D26:E26"/>
    <mergeCell ref="D18:E18"/>
    <mergeCell ref="D19:E19"/>
    <mergeCell ref="D20:E20"/>
    <mergeCell ref="D21:E21"/>
    <mergeCell ref="D22:E22"/>
  </mergeCells>
  <pageMargins left="1.2" right="0.15748031496063" top="0.74803149606299202" bottom="0.85" header="0.31496062992126" footer="0.31496062992126"/>
  <pageSetup paperSize="5" scale="80" orientation="landscape" copies="3" r:id="rId1"/>
  <rowBreaks count="3" manualBreakCount="3">
    <brk id="54" max="5" man="1"/>
    <brk id="71" max="5" man="1"/>
    <brk id="84" max="5" man="1"/>
  </rowBreaks>
</worksheet>
</file>

<file path=xl/worksheets/sheet2.xml><?xml version="1.0" encoding="utf-8"?>
<worksheet xmlns="http://schemas.openxmlformats.org/spreadsheetml/2006/main" xmlns:r="http://schemas.openxmlformats.org/officeDocument/2006/relationships">
  <dimension ref="A1:G22"/>
  <sheetViews>
    <sheetView topLeftCell="A13" workbookViewId="0">
      <selection activeCell="D17" sqref="D17"/>
    </sheetView>
  </sheetViews>
  <sheetFormatPr defaultColWidth="9.140625" defaultRowHeight="15.75"/>
  <cols>
    <col min="1" max="1" width="5.140625" style="27" bestFit="1" customWidth="1"/>
    <col min="2" max="2" width="15.28515625" style="27" customWidth="1"/>
    <col min="3" max="3" width="16.28515625" style="27" customWidth="1"/>
    <col min="4" max="4" width="17.5703125" style="27" customWidth="1"/>
    <col min="5" max="5" width="18.5703125" style="27" customWidth="1"/>
    <col min="6" max="6" width="28.5703125" style="27" customWidth="1"/>
    <col min="7" max="7" width="17" style="195" customWidth="1"/>
    <col min="8" max="16384" width="9.140625" style="27"/>
  </cols>
  <sheetData>
    <row r="1" spans="1:7">
      <c r="G1" s="196" t="s">
        <v>250</v>
      </c>
    </row>
    <row r="2" spans="1:7">
      <c r="A2" s="1422" t="s">
        <v>75</v>
      </c>
      <c r="B2" s="1422"/>
      <c r="C2" s="1422"/>
      <c r="D2" s="1422"/>
      <c r="E2" s="1422"/>
      <c r="F2" s="1422"/>
      <c r="G2" s="1422"/>
    </row>
    <row r="3" spans="1:7" ht="49.5" customHeight="1" thickBot="1">
      <c r="A3" s="1423" t="s">
        <v>160</v>
      </c>
      <c r="B3" s="1423"/>
      <c r="C3" s="1423"/>
      <c r="D3" s="1423"/>
      <c r="E3" s="1423"/>
      <c r="F3" s="1423"/>
      <c r="G3" s="1423"/>
    </row>
    <row r="4" spans="1:7">
      <c r="B4" s="1424" t="s">
        <v>76</v>
      </c>
      <c r="C4" s="1425"/>
      <c r="D4" s="1425"/>
      <c r="E4" s="1425"/>
      <c r="F4" s="165" t="s">
        <v>258</v>
      </c>
      <c r="G4" s="27"/>
    </row>
    <row r="5" spans="1:7">
      <c r="B5" s="1426" t="s">
        <v>77</v>
      </c>
      <c r="C5" s="1427"/>
      <c r="D5" s="1427"/>
      <c r="E5" s="1427"/>
      <c r="F5" s="166" t="s">
        <v>366</v>
      </c>
      <c r="G5" s="27"/>
    </row>
    <row r="6" spans="1:7">
      <c r="B6" s="1426" t="s">
        <v>78</v>
      </c>
      <c r="C6" s="1427"/>
      <c r="D6" s="1427"/>
      <c r="E6" s="1427"/>
      <c r="F6" s="167">
        <v>43133</v>
      </c>
      <c r="G6" s="27"/>
    </row>
    <row r="7" spans="1:7">
      <c r="B7" s="1426" t="s">
        <v>183</v>
      </c>
      <c r="C7" s="1427"/>
      <c r="D7" s="1427"/>
      <c r="E7" s="1427"/>
      <c r="F7" s="167">
        <v>43314</v>
      </c>
      <c r="G7" s="27"/>
    </row>
    <row r="8" spans="1:7">
      <c r="B8" s="1426" t="s">
        <v>184</v>
      </c>
      <c r="C8" s="1427"/>
      <c r="D8" s="1427"/>
      <c r="E8" s="1427"/>
      <c r="F8" s="305">
        <v>43014</v>
      </c>
      <c r="G8" s="27"/>
    </row>
    <row r="9" spans="1:7">
      <c r="B9" s="1426" t="s">
        <v>97</v>
      </c>
      <c r="C9" s="1427"/>
      <c r="D9" s="1427"/>
      <c r="E9" s="1427"/>
      <c r="F9" s="167" t="s">
        <v>259</v>
      </c>
      <c r="G9" s="27"/>
    </row>
    <row r="10" spans="1:7">
      <c r="B10" s="1426" t="s">
        <v>98</v>
      </c>
      <c r="C10" s="1427"/>
      <c r="D10" s="1427"/>
      <c r="E10" s="1427"/>
      <c r="F10" s="167" t="s">
        <v>260</v>
      </c>
      <c r="G10" s="27"/>
    </row>
    <row r="11" spans="1:7" ht="16.5" thickBot="1">
      <c r="B11" s="1428" t="s">
        <v>79</v>
      </c>
      <c r="C11" s="1429"/>
      <c r="D11" s="1429"/>
      <c r="E11" s="1429"/>
      <c r="F11" s="168" t="s">
        <v>110</v>
      </c>
      <c r="G11" s="27"/>
    </row>
    <row r="13" spans="1:7">
      <c r="A13" s="1421" t="s">
        <v>147</v>
      </c>
      <c r="B13" s="1421"/>
      <c r="C13" s="1421"/>
      <c r="D13" s="1421"/>
      <c r="E13" s="1421"/>
      <c r="F13" s="1421"/>
      <c r="G13" s="1421"/>
    </row>
    <row r="15" spans="1:7" ht="16.5" thickBot="1"/>
    <row r="16" spans="1:7" ht="48" thickBot="1">
      <c r="A16" s="343" t="s">
        <v>144</v>
      </c>
      <c r="B16" s="344" t="s">
        <v>263</v>
      </c>
      <c r="C16" s="344" t="s">
        <v>264</v>
      </c>
      <c r="D16" s="312" t="s">
        <v>146</v>
      </c>
      <c r="E16" s="344" t="s">
        <v>265</v>
      </c>
      <c r="F16" s="344" t="s">
        <v>145</v>
      </c>
      <c r="G16" s="345" t="s">
        <v>266</v>
      </c>
    </row>
    <row r="17" spans="1:7" ht="63">
      <c r="A17" s="307">
        <v>1</v>
      </c>
      <c r="B17" s="311">
        <v>1746568</v>
      </c>
      <c r="C17" s="306" t="s">
        <v>261</v>
      </c>
      <c r="D17" s="306"/>
      <c r="E17" s="306" t="s">
        <v>267</v>
      </c>
      <c r="F17" s="311" t="s">
        <v>268</v>
      </c>
      <c r="G17" s="346" t="s">
        <v>269</v>
      </c>
    </row>
    <row r="18" spans="1:7" ht="63">
      <c r="A18" s="308">
        <v>2</v>
      </c>
      <c r="B18" s="311">
        <v>1746587</v>
      </c>
      <c r="C18" s="306" t="s">
        <v>262</v>
      </c>
      <c r="D18" s="306"/>
      <c r="E18" s="306" t="s">
        <v>270</v>
      </c>
      <c r="F18" s="311" t="s">
        <v>271</v>
      </c>
      <c r="G18" s="346" t="s">
        <v>269</v>
      </c>
    </row>
    <row r="19" spans="1:7" ht="63.75" thickBot="1">
      <c r="A19" s="309">
        <v>3</v>
      </c>
      <c r="B19" s="311">
        <v>7602770</v>
      </c>
      <c r="C19" s="306" t="s">
        <v>272</v>
      </c>
      <c r="D19" s="306"/>
      <c r="E19" s="306" t="s">
        <v>273</v>
      </c>
      <c r="F19" s="311" t="s">
        <v>109</v>
      </c>
      <c r="G19" s="347">
        <v>42652</v>
      </c>
    </row>
    <row r="20" spans="1:7" ht="95.25" thickBot="1">
      <c r="A20" s="310">
        <v>4</v>
      </c>
      <c r="B20" s="311">
        <v>7824512</v>
      </c>
      <c r="C20" s="306" t="s">
        <v>274</v>
      </c>
      <c r="D20" s="306"/>
      <c r="E20" s="306" t="s">
        <v>275</v>
      </c>
      <c r="F20" s="311" t="s">
        <v>276</v>
      </c>
      <c r="G20" s="346" t="s">
        <v>277</v>
      </c>
    </row>
    <row r="21" spans="1:7" ht="78.75">
      <c r="A21" s="307">
        <v>5</v>
      </c>
      <c r="B21" s="311">
        <v>7960383</v>
      </c>
      <c r="C21" s="306" t="s">
        <v>278</v>
      </c>
      <c r="D21" s="306"/>
      <c r="E21" s="306" t="s">
        <v>279</v>
      </c>
      <c r="F21" s="311" t="s">
        <v>276</v>
      </c>
      <c r="G21" s="347">
        <v>43018</v>
      </c>
    </row>
    <row r="22" spans="1:7" ht="63.75" thickBot="1">
      <c r="A22" s="309">
        <v>6</v>
      </c>
      <c r="B22" s="348" t="s">
        <v>280</v>
      </c>
      <c r="C22" s="349" t="s">
        <v>281</v>
      </c>
      <c r="D22" s="349"/>
      <c r="E22" s="349" t="s">
        <v>282</v>
      </c>
      <c r="F22" s="350" t="s">
        <v>283</v>
      </c>
      <c r="G22" s="351" t="s">
        <v>284</v>
      </c>
    </row>
  </sheetData>
  <mergeCells count="11">
    <mergeCell ref="A13:G13"/>
    <mergeCell ref="A2:G2"/>
    <mergeCell ref="A3:G3"/>
    <mergeCell ref="B4:E4"/>
    <mergeCell ref="B5:E5"/>
    <mergeCell ref="B7:E7"/>
    <mergeCell ref="B8:E8"/>
    <mergeCell ref="B6:E6"/>
    <mergeCell ref="B9:E9"/>
    <mergeCell ref="B10:E10"/>
    <mergeCell ref="B11:E11"/>
  </mergeCells>
  <pageMargins left="0.95" right="0.3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sheetPr>
    <tabColor rgb="FF92D050"/>
  </sheetPr>
  <dimension ref="B1:G156"/>
  <sheetViews>
    <sheetView topLeftCell="A69" workbookViewId="0">
      <selection activeCell="C160" sqref="C160"/>
    </sheetView>
  </sheetViews>
  <sheetFormatPr defaultColWidth="9.140625" defaultRowHeight="15"/>
  <cols>
    <col min="1" max="2" width="5.5703125" style="394" customWidth="1"/>
    <col min="3" max="3" width="104.5703125" style="394" customWidth="1"/>
    <col min="4" max="4" width="21.42578125" style="394" bestFit="1" customWidth="1"/>
    <col min="5" max="5" width="10" style="394" bestFit="1" customWidth="1"/>
    <col min="6" max="6" width="24.7109375" style="394" customWidth="1"/>
    <col min="7" max="7" width="16" style="377" customWidth="1"/>
    <col min="8" max="16384" width="9.140625" style="394"/>
  </cols>
  <sheetData>
    <row r="1" spans="2:7" ht="15.75">
      <c r="B1" s="377"/>
      <c r="F1" s="1549"/>
      <c r="G1" s="1549"/>
    </row>
    <row r="2" spans="2:7" ht="18.75">
      <c r="B2" s="1419" t="s">
        <v>75</v>
      </c>
      <c r="C2" s="1419"/>
      <c r="D2" s="1419"/>
      <c r="E2" s="1419"/>
      <c r="F2" s="1419"/>
      <c r="G2" s="1419"/>
    </row>
    <row r="3" spans="2:7" ht="15.75">
      <c r="B3" s="132" t="s">
        <v>95</v>
      </c>
      <c r="C3" s="132"/>
      <c r="D3" s="132"/>
      <c r="E3" s="132"/>
      <c r="F3" s="132"/>
    </row>
    <row r="4" spans="2:7" ht="15.75">
      <c r="B4" s="1" t="s">
        <v>96</v>
      </c>
      <c r="C4" s="1"/>
      <c r="D4" s="2"/>
      <c r="E4" s="3"/>
      <c r="F4" s="144"/>
    </row>
    <row r="5" spans="2:7" ht="16.5" thickBot="1">
      <c r="B5" s="1"/>
      <c r="C5" s="1"/>
      <c r="D5" s="2"/>
      <c r="E5" s="3"/>
      <c r="F5" s="334"/>
    </row>
    <row r="6" spans="2:7" ht="15.75">
      <c r="B6" s="1424" t="s">
        <v>76</v>
      </c>
      <c r="C6" s="1425"/>
      <c r="D6" s="1425"/>
      <c r="E6" s="1425"/>
      <c r="F6" s="381" t="s">
        <v>258</v>
      </c>
      <c r="G6" s="232"/>
    </row>
    <row r="7" spans="2:7" ht="15.75">
      <c r="B7" s="1426" t="s">
        <v>77</v>
      </c>
      <c r="C7" s="1427"/>
      <c r="D7" s="1427"/>
      <c r="E7" s="1427"/>
      <c r="F7" s="166" t="s">
        <v>366</v>
      </c>
      <c r="G7" s="89"/>
    </row>
    <row r="8" spans="2:7" ht="15.75">
      <c r="B8" s="1426" t="s">
        <v>78</v>
      </c>
      <c r="C8" s="1427"/>
      <c r="D8" s="1427"/>
      <c r="E8" s="1427"/>
      <c r="F8" s="124">
        <v>43133</v>
      </c>
      <c r="G8" s="89"/>
    </row>
    <row r="9" spans="2:7" ht="15.75">
      <c r="B9" s="1426" t="s">
        <v>183</v>
      </c>
      <c r="C9" s="1427"/>
      <c r="D9" s="1427"/>
      <c r="E9" s="1427"/>
      <c r="F9" s="124">
        <v>43314</v>
      </c>
      <c r="G9" s="89"/>
    </row>
    <row r="10" spans="2:7" ht="15.75">
      <c r="B10" s="1426" t="s">
        <v>184</v>
      </c>
      <c r="C10" s="1427"/>
      <c r="D10" s="1427"/>
      <c r="E10" s="1427"/>
      <c r="F10" s="321">
        <v>43014</v>
      </c>
      <c r="G10" s="89"/>
    </row>
    <row r="11" spans="2:7" ht="15.75">
      <c r="B11" s="1426" t="s">
        <v>97</v>
      </c>
      <c r="C11" s="1427"/>
      <c r="D11" s="1427"/>
      <c r="E11" s="1427"/>
      <c r="F11" s="124" t="s">
        <v>259</v>
      </c>
      <c r="G11" s="89"/>
    </row>
    <row r="12" spans="2:7" ht="15.75">
      <c r="B12" s="1426" t="s">
        <v>98</v>
      </c>
      <c r="C12" s="1427"/>
      <c r="D12" s="1427"/>
      <c r="E12" s="1427"/>
      <c r="F12" s="124" t="s">
        <v>260</v>
      </c>
      <c r="G12" s="89"/>
    </row>
    <row r="13" spans="2:7" ht="16.5" thickBot="1">
      <c r="B13" s="1428" t="s">
        <v>79</v>
      </c>
      <c r="C13" s="1429"/>
      <c r="D13" s="1429"/>
      <c r="E13" s="1429"/>
      <c r="F13" s="323" t="s">
        <v>110</v>
      </c>
      <c r="G13" s="233"/>
    </row>
    <row r="14" spans="2:7" ht="15.75">
      <c r="B14" s="5"/>
      <c r="C14" s="99"/>
      <c r="D14" s="21"/>
      <c r="E14" s="381"/>
      <c r="F14" s="381"/>
    </row>
    <row r="15" spans="2:7" ht="36" customHeight="1">
      <c r="B15" s="1559" t="s">
        <v>302</v>
      </c>
      <c r="C15" s="1559"/>
      <c r="D15" s="1559"/>
      <c r="E15" s="1559"/>
      <c r="F15" s="1559"/>
      <c r="G15" s="1559"/>
    </row>
    <row r="17" spans="2:7" s="377" customFormat="1" hidden="1">
      <c r="B17" s="382">
        <v>1</v>
      </c>
      <c r="C17" s="58" t="s">
        <v>111</v>
      </c>
      <c r="D17" s="382"/>
      <c r="E17" s="382"/>
      <c r="F17" s="382"/>
      <c r="G17" s="382"/>
    </row>
    <row r="18" spans="2:7" hidden="1">
      <c r="B18" s="382">
        <v>2</v>
      </c>
      <c r="C18" s="59" t="s">
        <v>112</v>
      </c>
      <c r="D18" s="382"/>
      <c r="E18" s="382"/>
      <c r="F18" s="382"/>
      <c r="G18" s="382"/>
    </row>
    <row r="19" spans="2:7" hidden="1">
      <c r="B19" s="382">
        <v>3</v>
      </c>
      <c r="C19" s="59" t="s">
        <v>113</v>
      </c>
      <c r="D19" s="382"/>
      <c r="E19" s="382"/>
      <c r="F19" s="382"/>
      <c r="G19" s="382"/>
    </row>
    <row r="20" spans="2:7" hidden="1">
      <c r="B20" s="382">
        <v>4</v>
      </c>
      <c r="C20" s="59" t="s">
        <v>114</v>
      </c>
      <c r="D20" s="382"/>
      <c r="E20" s="382"/>
      <c r="F20" s="382"/>
      <c r="G20" s="382"/>
    </row>
    <row r="21" spans="2:7" hidden="1">
      <c r="B21" s="382">
        <v>5</v>
      </c>
      <c r="C21" s="59" t="s">
        <v>115</v>
      </c>
      <c r="D21" s="382"/>
      <c r="E21" s="382"/>
      <c r="F21" s="382"/>
      <c r="G21" s="382"/>
    </row>
    <row r="22" spans="2:7" hidden="1">
      <c r="B22" s="382">
        <v>6</v>
      </c>
      <c r="C22" s="59" t="s">
        <v>116</v>
      </c>
      <c r="D22" s="382"/>
      <c r="E22" s="382"/>
      <c r="F22" s="382"/>
      <c r="G22" s="382"/>
    </row>
    <row r="23" spans="2:7" hidden="1">
      <c r="B23" s="382">
        <v>7</v>
      </c>
      <c r="C23" s="59" t="s">
        <v>117</v>
      </c>
      <c r="D23" s="382"/>
      <c r="E23" s="382"/>
      <c r="F23" s="382"/>
      <c r="G23" s="382"/>
    </row>
    <row r="24" spans="2:7" hidden="1">
      <c r="B24" s="382">
        <v>8</v>
      </c>
      <c r="C24" s="59" t="s">
        <v>118</v>
      </c>
      <c r="D24" s="382"/>
      <c r="E24" s="382"/>
      <c r="F24" s="382"/>
      <c r="G24" s="382"/>
    </row>
    <row r="25" spans="2:7" hidden="1">
      <c r="B25" s="382">
        <v>9</v>
      </c>
      <c r="C25" s="59" t="s">
        <v>119</v>
      </c>
      <c r="D25" s="382"/>
      <c r="E25" s="382"/>
      <c r="F25" s="382"/>
      <c r="G25" s="382"/>
    </row>
    <row r="26" spans="2:7" hidden="1">
      <c r="B26" s="382">
        <v>10</v>
      </c>
      <c r="C26" s="59" t="s">
        <v>120</v>
      </c>
      <c r="D26" s="382"/>
      <c r="E26" s="382"/>
      <c r="F26" s="382"/>
      <c r="G26" s="382"/>
    </row>
    <row r="27" spans="2:7" hidden="1">
      <c r="B27" s="382">
        <v>11</v>
      </c>
      <c r="C27" s="59" t="s">
        <v>121</v>
      </c>
      <c r="D27" s="382"/>
      <c r="E27" s="382"/>
      <c r="F27" s="382"/>
      <c r="G27" s="382"/>
    </row>
    <row r="28" spans="2:7" hidden="1">
      <c r="B28" s="382">
        <v>12</v>
      </c>
      <c r="C28" s="59" t="s">
        <v>122</v>
      </c>
      <c r="D28" s="382"/>
      <c r="E28" s="382"/>
      <c r="F28" s="382"/>
      <c r="G28" s="382"/>
    </row>
    <row r="29" spans="2:7" hidden="1">
      <c r="B29" s="382">
        <v>13</v>
      </c>
      <c r="C29" s="59" t="s">
        <v>123</v>
      </c>
      <c r="D29" s="382"/>
      <c r="E29" s="382"/>
      <c r="F29" s="382"/>
      <c r="G29" s="382"/>
    </row>
    <row r="30" spans="2:7" hidden="1">
      <c r="B30" s="382">
        <v>14</v>
      </c>
      <c r="C30" s="59" t="s">
        <v>124</v>
      </c>
      <c r="D30" s="382"/>
      <c r="E30" s="382"/>
      <c r="F30" s="382"/>
      <c r="G30" s="382"/>
    </row>
    <row r="31" spans="2:7" hidden="1">
      <c r="B31" s="382">
        <v>15</v>
      </c>
      <c r="C31" s="59" t="s">
        <v>125</v>
      </c>
      <c r="D31" s="382"/>
      <c r="E31" s="382"/>
      <c r="F31" s="382"/>
      <c r="G31" s="382"/>
    </row>
    <row r="32" spans="2:7" hidden="1">
      <c r="B32" s="382">
        <v>16</v>
      </c>
      <c r="C32" s="59" t="s">
        <v>126</v>
      </c>
      <c r="D32" s="382"/>
      <c r="E32" s="382"/>
      <c r="F32" s="382"/>
      <c r="G32" s="382"/>
    </row>
    <row r="33" spans="2:7" hidden="1">
      <c r="B33" s="382">
        <v>17</v>
      </c>
      <c r="C33" s="59" t="s">
        <v>127</v>
      </c>
      <c r="D33" s="382"/>
      <c r="E33" s="382"/>
      <c r="F33" s="382"/>
      <c r="G33" s="382"/>
    </row>
    <row r="34" spans="2:7" hidden="1">
      <c r="B34" s="382">
        <v>18</v>
      </c>
      <c r="C34" s="59" t="s">
        <v>128</v>
      </c>
      <c r="D34" s="382"/>
      <c r="E34" s="382"/>
      <c r="F34" s="382"/>
      <c r="G34" s="382"/>
    </row>
    <row r="35" spans="2:7" hidden="1">
      <c r="B35" s="382">
        <v>19</v>
      </c>
      <c r="C35" s="59" t="s">
        <v>129</v>
      </c>
      <c r="D35" s="382"/>
      <c r="E35" s="382"/>
      <c r="F35" s="382"/>
      <c r="G35" s="382"/>
    </row>
    <row r="36" spans="2:7" hidden="1">
      <c r="B36" s="382">
        <v>20</v>
      </c>
      <c r="C36" s="59" t="s">
        <v>130</v>
      </c>
      <c r="D36" s="382"/>
      <c r="E36" s="382"/>
      <c r="F36" s="382"/>
      <c r="G36" s="382"/>
    </row>
    <row r="37" spans="2:7" hidden="1">
      <c r="B37" s="382">
        <v>21</v>
      </c>
      <c r="C37" s="59" t="s">
        <v>131</v>
      </c>
      <c r="D37" s="382"/>
      <c r="E37" s="382"/>
      <c r="F37" s="382"/>
      <c r="G37" s="382"/>
    </row>
    <row r="38" spans="2:7" hidden="1">
      <c r="B38" s="382">
        <v>22</v>
      </c>
      <c r="C38" s="59" t="s">
        <v>132</v>
      </c>
      <c r="D38" s="382"/>
      <c r="E38" s="382"/>
      <c r="F38" s="382"/>
      <c r="G38" s="382"/>
    </row>
    <row r="39" spans="2:7" hidden="1">
      <c r="B39" s="382">
        <v>23</v>
      </c>
      <c r="C39" s="59" t="s">
        <v>133</v>
      </c>
      <c r="D39" s="382"/>
      <c r="E39" s="382"/>
      <c r="F39" s="382"/>
      <c r="G39" s="382"/>
    </row>
    <row r="40" spans="2:7" hidden="1">
      <c r="B40" s="382">
        <v>24</v>
      </c>
      <c r="C40" s="59" t="s">
        <v>117</v>
      </c>
      <c r="D40" s="382"/>
      <c r="E40" s="382"/>
      <c r="F40" s="382"/>
      <c r="G40" s="382"/>
    </row>
    <row r="41" spans="2:7" hidden="1">
      <c r="B41" s="382">
        <v>25</v>
      </c>
      <c r="C41" s="59" t="s">
        <v>134</v>
      </c>
      <c r="D41" s="382"/>
      <c r="E41" s="382"/>
      <c r="F41" s="382"/>
      <c r="G41" s="382"/>
    </row>
    <row r="42" spans="2:7" hidden="1">
      <c r="B42" s="382">
        <v>26</v>
      </c>
      <c r="C42" s="59" t="s">
        <v>135</v>
      </c>
      <c r="D42" s="382"/>
      <c r="E42" s="382"/>
      <c r="F42" s="382"/>
      <c r="G42" s="382"/>
    </row>
    <row r="43" spans="2:7" hidden="1">
      <c r="B43" s="382">
        <v>27</v>
      </c>
      <c r="C43" s="59" t="s">
        <v>136</v>
      </c>
      <c r="D43" s="382"/>
      <c r="E43" s="382"/>
      <c r="F43" s="382"/>
      <c r="G43" s="382"/>
    </row>
    <row r="44" spans="2:7" hidden="1">
      <c r="B44" s="382">
        <v>28</v>
      </c>
      <c r="C44" s="59" t="s">
        <v>137</v>
      </c>
      <c r="D44" s="382"/>
      <c r="E44" s="382"/>
      <c r="F44" s="382"/>
      <c r="G44" s="382"/>
    </row>
    <row r="45" spans="2:7" hidden="1">
      <c r="B45" s="382">
        <v>29</v>
      </c>
      <c r="C45" s="59" t="s">
        <v>138</v>
      </c>
      <c r="D45" s="382"/>
      <c r="E45" s="382"/>
      <c r="F45" s="382"/>
      <c r="G45" s="382"/>
    </row>
    <row r="46" spans="2:7" hidden="1">
      <c r="B46" s="382">
        <v>30</v>
      </c>
      <c r="C46" s="59" t="s">
        <v>139</v>
      </c>
      <c r="D46" s="382"/>
      <c r="E46" s="382"/>
      <c r="F46" s="382"/>
      <c r="G46" s="382"/>
    </row>
    <row r="47" spans="2:7" hidden="1">
      <c r="B47" s="382">
        <v>31</v>
      </c>
      <c r="C47" s="59" t="s">
        <v>140</v>
      </c>
      <c r="D47" s="382"/>
      <c r="E47" s="382"/>
      <c r="F47" s="382"/>
      <c r="G47" s="382"/>
    </row>
    <row r="48" spans="2:7" hidden="1">
      <c r="B48" s="382">
        <v>32</v>
      </c>
      <c r="C48" s="59" t="s">
        <v>141</v>
      </c>
      <c r="D48" s="382"/>
      <c r="E48" s="382"/>
      <c r="F48" s="382"/>
      <c r="G48" s="382"/>
    </row>
    <row r="49" spans="2:7" hidden="1">
      <c r="B49" s="382">
        <v>33</v>
      </c>
      <c r="C49" s="59" t="s">
        <v>142</v>
      </c>
      <c r="D49" s="382"/>
      <c r="E49" s="382"/>
      <c r="F49" s="382"/>
      <c r="G49" s="382"/>
    </row>
    <row r="50" spans="2:7" hidden="1">
      <c r="B50" s="382">
        <v>34</v>
      </c>
      <c r="C50" s="59" t="s">
        <v>143</v>
      </c>
      <c r="D50" s="382"/>
      <c r="E50" s="382"/>
      <c r="F50" s="382"/>
      <c r="G50" s="382"/>
    </row>
    <row r="51" spans="2:7" hidden="1">
      <c r="B51" s="382">
        <v>35</v>
      </c>
      <c r="C51" s="59"/>
      <c r="D51" s="382"/>
      <c r="E51" s="382"/>
      <c r="F51" s="382"/>
      <c r="G51" s="382"/>
    </row>
    <row r="52" spans="2:7" hidden="1">
      <c r="B52" s="382">
        <v>36</v>
      </c>
      <c r="C52" s="59"/>
      <c r="D52" s="382"/>
      <c r="E52" s="382"/>
      <c r="F52" s="382"/>
      <c r="G52" s="382"/>
    </row>
    <row r="53" spans="2:7" hidden="1">
      <c r="B53" s="382">
        <v>37</v>
      </c>
      <c r="C53" s="59"/>
      <c r="D53" s="382"/>
      <c r="E53" s="382"/>
      <c r="F53" s="382"/>
      <c r="G53" s="382"/>
    </row>
    <row r="54" spans="2:7">
      <c r="B54" s="377"/>
      <c r="E54" s="377"/>
      <c r="F54" s="377"/>
    </row>
    <row r="55" spans="2:7" ht="42.75">
      <c r="B55" s="375" t="s">
        <v>68</v>
      </c>
      <c r="C55" s="375" t="s">
        <v>400</v>
      </c>
      <c r="D55" s="375" t="s">
        <v>191</v>
      </c>
      <c r="E55" s="376" t="s">
        <v>371</v>
      </c>
      <c r="F55" s="372"/>
      <c r="G55" s="371"/>
    </row>
    <row r="56" spans="2:7">
      <c r="B56" s="382">
        <v>1</v>
      </c>
      <c r="C56" s="361" t="s">
        <v>372</v>
      </c>
      <c r="D56" s="59"/>
      <c r="E56" s="382"/>
      <c r="F56" s="369"/>
      <c r="G56" s="370"/>
    </row>
    <row r="57" spans="2:7" ht="15" customHeight="1">
      <c r="B57" s="1550">
        <v>2</v>
      </c>
      <c r="C57" s="1554" t="s">
        <v>2410</v>
      </c>
      <c r="D57" s="1555" t="s">
        <v>373</v>
      </c>
      <c r="E57" s="1560" t="s">
        <v>374</v>
      </c>
      <c r="F57" s="373"/>
      <c r="G57" s="374"/>
    </row>
    <row r="58" spans="2:7">
      <c r="B58" s="1550"/>
      <c r="C58" s="1554"/>
      <c r="D58" s="1557"/>
      <c r="E58" s="1560"/>
      <c r="F58" s="373"/>
      <c r="G58" s="374"/>
    </row>
    <row r="59" spans="2:7" ht="15" customHeight="1">
      <c r="B59" s="1550">
        <v>3</v>
      </c>
      <c r="C59" s="1551" t="s">
        <v>2411</v>
      </c>
      <c r="D59" s="1552" t="s">
        <v>375</v>
      </c>
      <c r="E59" s="1550" t="s">
        <v>374</v>
      </c>
      <c r="F59" s="373"/>
      <c r="G59" s="374"/>
    </row>
    <row r="60" spans="2:7">
      <c r="B60" s="1550"/>
      <c r="C60" s="1551"/>
      <c r="D60" s="1553"/>
      <c r="E60" s="1550"/>
      <c r="F60" s="373"/>
      <c r="G60" s="374"/>
    </row>
    <row r="61" spans="2:7" ht="15" customHeight="1">
      <c r="B61" s="1550">
        <v>4</v>
      </c>
      <c r="C61" s="1554" t="s">
        <v>2412</v>
      </c>
      <c r="D61" s="1555" t="s">
        <v>376</v>
      </c>
      <c r="E61" s="1558" t="s">
        <v>374</v>
      </c>
      <c r="F61" s="373"/>
      <c r="G61" s="374"/>
    </row>
    <row r="62" spans="2:7">
      <c r="B62" s="1550"/>
      <c r="C62" s="1554"/>
      <c r="D62" s="1556"/>
      <c r="E62" s="1558"/>
      <c r="F62" s="373"/>
      <c r="G62" s="374"/>
    </row>
    <row r="63" spans="2:7">
      <c r="B63" s="1550"/>
      <c r="C63" s="1554"/>
      <c r="D63" s="1556"/>
      <c r="E63" s="1558"/>
      <c r="F63" s="373"/>
      <c r="G63" s="374"/>
    </row>
    <row r="64" spans="2:7">
      <c r="B64" s="1550"/>
      <c r="C64" s="1554"/>
      <c r="D64" s="1557"/>
      <c r="E64" s="1558"/>
      <c r="F64" s="373"/>
      <c r="G64" s="374"/>
    </row>
    <row r="65" spans="2:7" ht="15" customHeight="1">
      <c r="B65" s="1550">
        <v>5</v>
      </c>
      <c r="C65" s="1554" t="s">
        <v>2413</v>
      </c>
      <c r="D65" s="1555" t="s">
        <v>377</v>
      </c>
      <c r="E65" s="1558" t="s">
        <v>374</v>
      </c>
      <c r="F65" s="373"/>
      <c r="G65" s="374"/>
    </row>
    <row r="66" spans="2:7">
      <c r="B66" s="1550"/>
      <c r="C66" s="1554"/>
      <c r="D66" s="1557"/>
      <c r="E66" s="1558"/>
      <c r="F66" s="373"/>
      <c r="G66" s="374"/>
    </row>
    <row r="67" spans="2:7" ht="15" customHeight="1">
      <c r="B67" s="1550">
        <v>6</v>
      </c>
      <c r="C67" s="1554" t="s">
        <v>2414</v>
      </c>
      <c r="D67" s="1555" t="s">
        <v>378</v>
      </c>
      <c r="E67" s="1550" t="s">
        <v>374</v>
      </c>
      <c r="F67" s="373"/>
      <c r="G67" s="374"/>
    </row>
    <row r="68" spans="2:7">
      <c r="B68" s="1550"/>
      <c r="C68" s="1554"/>
      <c r="D68" s="1556"/>
      <c r="E68" s="1550"/>
      <c r="F68" s="373"/>
      <c r="G68" s="374"/>
    </row>
    <row r="69" spans="2:7">
      <c r="B69" s="1550"/>
      <c r="C69" s="1554"/>
      <c r="D69" s="1557"/>
      <c r="E69" s="1550"/>
      <c r="F69" s="373"/>
      <c r="G69" s="374"/>
    </row>
    <row r="70" spans="2:7" ht="15" customHeight="1">
      <c r="B70" s="1550">
        <v>7</v>
      </c>
      <c r="C70" s="1554" t="s">
        <v>2415</v>
      </c>
      <c r="D70" s="1555" t="s">
        <v>375</v>
      </c>
      <c r="E70" s="1550" t="s">
        <v>374</v>
      </c>
      <c r="F70" s="373"/>
      <c r="G70" s="374"/>
    </row>
    <row r="71" spans="2:7">
      <c r="B71" s="1550"/>
      <c r="C71" s="1554"/>
      <c r="D71" s="1556"/>
      <c r="E71" s="1550"/>
      <c r="F71" s="373"/>
      <c r="G71" s="374"/>
    </row>
    <row r="72" spans="2:7">
      <c r="B72" s="1550"/>
      <c r="C72" s="1554"/>
      <c r="D72" s="1556"/>
      <c r="E72" s="1550"/>
      <c r="F72" s="373"/>
      <c r="G72" s="374"/>
    </row>
    <row r="73" spans="2:7">
      <c r="B73" s="1550"/>
      <c r="C73" s="1554"/>
      <c r="D73" s="1556"/>
      <c r="E73" s="1550"/>
      <c r="F73" s="373"/>
      <c r="G73" s="374"/>
    </row>
    <row r="74" spans="2:7">
      <c r="B74" s="1550"/>
      <c r="C74" s="1554"/>
      <c r="D74" s="1557"/>
      <c r="E74" s="1550"/>
      <c r="F74" s="373"/>
      <c r="G74" s="374"/>
    </row>
    <row r="75" spans="2:7" ht="15" customHeight="1">
      <c r="B75" s="1550">
        <v>8</v>
      </c>
      <c r="C75" s="1554" t="s">
        <v>2416</v>
      </c>
      <c r="D75" s="1555" t="s">
        <v>379</v>
      </c>
      <c r="E75" s="1561" t="s">
        <v>374</v>
      </c>
      <c r="F75" s="373"/>
      <c r="G75" s="374"/>
    </row>
    <row r="76" spans="2:7">
      <c r="B76" s="1550"/>
      <c r="C76" s="1554"/>
      <c r="D76" s="1557"/>
      <c r="E76" s="1561"/>
      <c r="F76" s="373"/>
      <c r="G76" s="374"/>
    </row>
    <row r="77" spans="2:7" ht="15" customHeight="1">
      <c r="B77" s="1550">
        <v>9</v>
      </c>
      <c r="C77" s="1554" t="s">
        <v>2417</v>
      </c>
      <c r="D77" s="1555" t="s">
        <v>380</v>
      </c>
      <c r="E77" s="1550" t="s">
        <v>374</v>
      </c>
      <c r="F77" s="373"/>
      <c r="G77" s="374"/>
    </row>
    <row r="78" spans="2:7">
      <c r="B78" s="1550"/>
      <c r="C78" s="1554"/>
      <c r="D78" s="1557"/>
      <c r="E78" s="1550"/>
      <c r="F78" s="373"/>
      <c r="G78" s="374"/>
    </row>
    <row r="79" spans="2:7" ht="15" customHeight="1">
      <c r="B79" s="1550">
        <v>10</v>
      </c>
      <c r="C79" s="1554" t="s">
        <v>2418</v>
      </c>
      <c r="D79" s="1555" t="s">
        <v>375</v>
      </c>
      <c r="E79" s="1550" t="s">
        <v>374</v>
      </c>
      <c r="F79" s="373"/>
      <c r="G79" s="374"/>
    </row>
    <row r="80" spans="2:7">
      <c r="B80" s="1550"/>
      <c r="C80" s="1554"/>
      <c r="D80" s="1556"/>
      <c r="E80" s="1550"/>
      <c r="F80" s="373"/>
      <c r="G80" s="374"/>
    </row>
    <row r="81" spans="2:7">
      <c r="B81" s="1550"/>
      <c r="C81" s="1554"/>
      <c r="D81" s="1557"/>
      <c r="E81" s="1550"/>
      <c r="F81" s="373"/>
      <c r="G81" s="374"/>
    </row>
    <row r="82" spans="2:7" ht="15" customHeight="1">
      <c r="B82" s="1550">
        <v>11</v>
      </c>
      <c r="C82" s="1554" t="s">
        <v>2419</v>
      </c>
      <c r="D82" s="1555" t="s">
        <v>375</v>
      </c>
      <c r="E82" s="1550" t="s">
        <v>374</v>
      </c>
      <c r="F82" s="373"/>
      <c r="G82" s="374"/>
    </row>
    <row r="83" spans="2:7">
      <c r="B83" s="1550"/>
      <c r="C83" s="1554"/>
      <c r="D83" s="1556"/>
      <c r="E83" s="1550"/>
      <c r="F83" s="373"/>
      <c r="G83" s="374"/>
    </row>
    <row r="84" spans="2:7">
      <c r="B84" s="1550"/>
      <c r="C84" s="1554"/>
      <c r="D84" s="1556"/>
      <c r="E84" s="1550"/>
      <c r="F84" s="373"/>
      <c r="G84" s="374"/>
    </row>
    <row r="85" spans="2:7">
      <c r="B85" s="1550"/>
      <c r="C85" s="1554"/>
      <c r="D85" s="1556"/>
      <c r="E85" s="1550"/>
      <c r="F85" s="373"/>
      <c r="G85" s="374"/>
    </row>
    <row r="86" spans="2:7">
      <c r="B86" s="1550"/>
      <c r="C86" s="1554"/>
      <c r="D86" s="1557"/>
      <c r="E86" s="1550"/>
      <c r="F86" s="373"/>
      <c r="G86" s="374"/>
    </row>
    <row r="87" spans="2:7" ht="15" customHeight="1">
      <c r="B87" s="1550">
        <v>12</v>
      </c>
      <c r="C87" s="1554" t="s">
        <v>2420</v>
      </c>
      <c r="D87" s="1555" t="s">
        <v>375</v>
      </c>
      <c r="E87" s="1550" t="s">
        <v>374</v>
      </c>
      <c r="F87" s="373"/>
      <c r="G87" s="374"/>
    </row>
    <row r="88" spans="2:7">
      <c r="B88" s="1550"/>
      <c r="C88" s="1554"/>
      <c r="D88" s="1556"/>
      <c r="E88" s="1550"/>
      <c r="F88" s="373"/>
      <c r="G88" s="374"/>
    </row>
    <row r="89" spans="2:7">
      <c r="B89" s="1550"/>
      <c r="C89" s="1554"/>
      <c r="D89" s="1557"/>
      <c r="E89" s="1550"/>
      <c r="F89" s="373"/>
      <c r="G89" s="374"/>
    </row>
    <row r="90" spans="2:7" ht="15" customHeight="1">
      <c r="B90" s="1550">
        <v>13</v>
      </c>
      <c r="C90" s="1554" t="s">
        <v>2421</v>
      </c>
      <c r="D90" s="1555" t="s">
        <v>375</v>
      </c>
      <c r="E90" s="1550" t="s">
        <v>374</v>
      </c>
      <c r="F90" s="373"/>
      <c r="G90" s="374"/>
    </row>
    <row r="91" spans="2:7">
      <c r="B91" s="1550"/>
      <c r="C91" s="1554"/>
      <c r="D91" s="1556"/>
      <c r="E91" s="1550"/>
      <c r="F91" s="373"/>
      <c r="G91" s="374"/>
    </row>
    <row r="92" spans="2:7">
      <c r="B92" s="1550"/>
      <c r="C92" s="1554"/>
      <c r="D92" s="1557"/>
      <c r="E92" s="1550"/>
      <c r="F92" s="373"/>
      <c r="G92" s="374"/>
    </row>
    <row r="93" spans="2:7" ht="15" customHeight="1">
      <c r="B93" s="1550">
        <v>14</v>
      </c>
      <c r="C93" s="1554" t="s">
        <v>2422</v>
      </c>
      <c r="D93" s="1555" t="s">
        <v>375</v>
      </c>
      <c r="E93" s="1562" t="s">
        <v>374</v>
      </c>
      <c r="F93" s="373"/>
      <c r="G93" s="374"/>
    </row>
    <row r="94" spans="2:7">
      <c r="B94" s="1550"/>
      <c r="C94" s="1554"/>
      <c r="D94" s="1556"/>
      <c r="E94" s="1562"/>
      <c r="F94" s="373"/>
      <c r="G94" s="374"/>
    </row>
    <row r="95" spans="2:7">
      <c r="B95" s="1550"/>
      <c r="C95" s="1554"/>
      <c r="D95" s="1557"/>
      <c r="E95" s="1562"/>
      <c r="F95" s="373"/>
      <c r="G95" s="374"/>
    </row>
    <row r="96" spans="2:7" ht="15" customHeight="1">
      <c r="B96" s="1550">
        <v>15</v>
      </c>
      <c r="C96" s="1554" t="s">
        <v>2423</v>
      </c>
      <c r="D96" s="1555" t="s">
        <v>375</v>
      </c>
      <c r="E96" s="1550" t="s">
        <v>374</v>
      </c>
      <c r="F96" s="373"/>
      <c r="G96" s="374"/>
    </row>
    <row r="97" spans="2:7">
      <c r="B97" s="1550"/>
      <c r="C97" s="1554"/>
      <c r="D97" s="1556"/>
      <c r="E97" s="1550"/>
      <c r="F97" s="373"/>
      <c r="G97" s="374"/>
    </row>
    <row r="98" spans="2:7">
      <c r="B98" s="1550"/>
      <c r="C98" s="1554"/>
      <c r="D98" s="1557"/>
      <c r="E98" s="1550"/>
      <c r="F98" s="373"/>
      <c r="G98" s="374"/>
    </row>
    <row r="99" spans="2:7" ht="15" customHeight="1">
      <c r="B99" s="1550">
        <v>16</v>
      </c>
      <c r="C99" s="1554" t="s">
        <v>2424</v>
      </c>
      <c r="D99" s="1555" t="s">
        <v>375</v>
      </c>
      <c r="E99" s="1550" t="s">
        <v>374</v>
      </c>
      <c r="F99" s="373"/>
      <c r="G99" s="374"/>
    </row>
    <row r="100" spans="2:7">
      <c r="B100" s="1550"/>
      <c r="C100" s="1554"/>
      <c r="D100" s="1556"/>
      <c r="E100" s="1550"/>
      <c r="F100" s="373"/>
      <c r="G100" s="374"/>
    </row>
    <row r="101" spans="2:7">
      <c r="B101" s="1550"/>
      <c r="C101" s="1554"/>
      <c r="D101" s="1557"/>
      <c r="E101" s="1550"/>
      <c r="F101" s="373"/>
      <c r="G101" s="374"/>
    </row>
    <row r="102" spans="2:7" ht="15" customHeight="1">
      <c r="B102" s="1550">
        <v>17</v>
      </c>
      <c r="C102" s="1567" t="s">
        <v>2425</v>
      </c>
      <c r="D102" s="1555" t="s">
        <v>375</v>
      </c>
      <c r="E102" s="1550" t="s">
        <v>374</v>
      </c>
      <c r="F102" s="373"/>
      <c r="G102" s="374"/>
    </row>
    <row r="103" spans="2:7">
      <c r="B103" s="1550"/>
      <c r="C103" s="1567"/>
      <c r="D103" s="1556"/>
      <c r="E103" s="1550"/>
      <c r="F103" s="373"/>
      <c r="G103" s="374"/>
    </row>
    <row r="104" spans="2:7">
      <c r="B104" s="1550"/>
      <c r="C104" s="1567"/>
      <c r="D104" s="1557"/>
      <c r="E104" s="1550"/>
      <c r="F104" s="373"/>
      <c r="G104" s="374"/>
    </row>
    <row r="105" spans="2:7">
      <c r="B105" s="1550">
        <v>18</v>
      </c>
      <c r="C105" s="1568" t="s">
        <v>2426</v>
      </c>
      <c r="D105" s="1564" t="s">
        <v>381</v>
      </c>
      <c r="E105" s="1550" t="s">
        <v>374</v>
      </c>
      <c r="F105" s="373"/>
      <c r="G105" s="374"/>
    </row>
    <row r="106" spans="2:7" ht="15" customHeight="1">
      <c r="B106" s="1550"/>
      <c r="C106" s="1568"/>
      <c r="D106" s="1565"/>
      <c r="E106" s="1550"/>
      <c r="F106" s="373"/>
      <c r="G106" s="374"/>
    </row>
    <row r="107" spans="2:7">
      <c r="B107" s="1550"/>
      <c r="C107" s="1568"/>
      <c r="D107" s="1565"/>
      <c r="E107" s="1550"/>
      <c r="F107" s="373"/>
      <c r="G107" s="374"/>
    </row>
    <row r="108" spans="2:7">
      <c r="B108" s="1550"/>
      <c r="C108" s="1568"/>
      <c r="D108" s="1566"/>
      <c r="E108" s="1550"/>
      <c r="F108" s="373"/>
      <c r="G108" s="374"/>
    </row>
    <row r="109" spans="2:7" ht="15" customHeight="1">
      <c r="B109" s="1550">
        <v>19</v>
      </c>
      <c r="C109" s="1554" t="s">
        <v>2427</v>
      </c>
      <c r="D109" s="1555" t="s">
        <v>381</v>
      </c>
      <c r="E109" s="1550" t="s">
        <v>374</v>
      </c>
      <c r="F109" s="373"/>
      <c r="G109" s="374"/>
    </row>
    <row r="110" spans="2:7">
      <c r="B110" s="1550"/>
      <c r="C110" s="1554"/>
      <c r="D110" s="1556"/>
      <c r="E110" s="1550"/>
      <c r="F110" s="373"/>
      <c r="G110" s="374"/>
    </row>
    <row r="111" spans="2:7">
      <c r="B111" s="1550"/>
      <c r="C111" s="1554"/>
      <c r="D111" s="1556"/>
      <c r="E111" s="1550"/>
      <c r="F111" s="373"/>
      <c r="G111" s="374"/>
    </row>
    <row r="112" spans="2:7">
      <c r="B112" s="1550"/>
      <c r="C112" s="1554"/>
      <c r="D112" s="1557"/>
      <c r="E112" s="1550"/>
      <c r="F112" s="373"/>
      <c r="G112" s="374"/>
    </row>
    <row r="113" spans="2:7" ht="15" customHeight="1">
      <c r="B113" s="1550">
        <v>20</v>
      </c>
      <c r="C113" s="1563" t="s">
        <v>2428</v>
      </c>
      <c r="D113" s="1564" t="s">
        <v>382</v>
      </c>
      <c r="E113" s="1550" t="s">
        <v>374</v>
      </c>
      <c r="F113" s="373"/>
      <c r="G113" s="374"/>
    </row>
    <row r="114" spans="2:7">
      <c r="B114" s="1550"/>
      <c r="C114" s="1563"/>
      <c r="D114" s="1565"/>
      <c r="E114" s="1550"/>
      <c r="F114" s="373"/>
      <c r="G114" s="374"/>
    </row>
    <row r="115" spans="2:7">
      <c r="B115" s="1550"/>
      <c r="C115" s="1563"/>
      <c r="D115" s="1566"/>
      <c r="E115" s="1550"/>
      <c r="F115" s="373"/>
      <c r="G115" s="374"/>
    </row>
    <row r="116" spans="2:7" ht="15" customHeight="1">
      <c r="B116" s="1550">
        <v>21</v>
      </c>
      <c r="C116" s="1554" t="s">
        <v>2429</v>
      </c>
      <c r="D116" s="1555" t="s">
        <v>373</v>
      </c>
      <c r="E116" s="1558" t="s">
        <v>383</v>
      </c>
      <c r="F116" s="373"/>
      <c r="G116" s="374"/>
    </row>
    <row r="117" spans="2:7">
      <c r="B117" s="1550"/>
      <c r="C117" s="1554"/>
      <c r="D117" s="1556"/>
      <c r="E117" s="1558"/>
      <c r="F117" s="373"/>
      <c r="G117" s="374"/>
    </row>
    <row r="118" spans="2:7">
      <c r="B118" s="1550"/>
      <c r="C118" s="1554"/>
      <c r="D118" s="1557"/>
      <c r="E118" s="1558"/>
      <c r="F118" s="373"/>
      <c r="G118" s="374"/>
    </row>
    <row r="119" spans="2:7" ht="15" customHeight="1">
      <c r="B119" s="1550">
        <v>22</v>
      </c>
      <c r="C119" s="1554" t="s">
        <v>2430</v>
      </c>
      <c r="D119" s="1555" t="s">
        <v>373</v>
      </c>
      <c r="E119" s="1558" t="s">
        <v>384</v>
      </c>
      <c r="F119" s="373"/>
      <c r="G119" s="374"/>
    </row>
    <row r="120" spans="2:7">
      <c r="B120" s="1550"/>
      <c r="C120" s="1554"/>
      <c r="D120" s="1556"/>
      <c r="E120" s="1558"/>
      <c r="F120" s="373"/>
      <c r="G120" s="374"/>
    </row>
    <row r="121" spans="2:7">
      <c r="B121" s="1550"/>
      <c r="C121" s="1554"/>
      <c r="D121" s="1557"/>
      <c r="E121" s="1558"/>
      <c r="F121" s="373"/>
      <c r="G121" s="374"/>
    </row>
    <row r="122" spans="2:7" ht="15" customHeight="1">
      <c r="B122" s="1550">
        <v>23</v>
      </c>
      <c r="C122" s="1554" t="s">
        <v>2431</v>
      </c>
      <c r="D122" s="1555" t="s">
        <v>373</v>
      </c>
      <c r="E122" s="1550" t="s">
        <v>109</v>
      </c>
      <c r="F122" s="373"/>
      <c r="G122" s="374"/>
    </row>
    <row r="123" spans="2:7">
      <c r="B123" s="1550"/>
      <c r="C123" s="1554"/>
      <c r="D123" s="1556"/>
      <c r="E123" s="1550"/>
      <c r="F123" s="373"/>
      <c r="G123" s="374"/>
    </row>
    <row r="124" spans="2:7">
      <c r="B124" s="1550"/>
      <c r="C124" s="1554"/>
      <c r="D124" s="1557"/>
      <c r="E124" s="1550"/>
      <c r="F124" s="373"/>
      <c r="G124" s="374"/>
    </row>
    <row r="125" spans="2:7" ht="15" customHeight="1">
      <c r="B125" s="1550">
        <v>24</v>
      </c>
      <c r="C125" s="1554" t="s">
        <v>2432</v>
      </c>
      <c r="D125" s="1555" t="s">
        <v>373</v>
      </c>
      <c r="E125" s="1558" t="s">
        <v>385</v>
      </c>
      <c r="F125" s="373"/>
      <c r="G125" s="374"/>
    </row>
    <row r="126" spans="2:7">
      <c r="B126" s="1550"/>
      <c r="C126" s="1554"/>
      <c r="D126" s="1556"/>
      <c r="E126" s="1558"/>
      <c r="F126" s="373"/>
      <c r="G126" s="374"/>
    </row>
    <row r="127" spans="2:7">
      <c r="B127" s="1550"/>
      <c r="C127" s="1554"/>
      <c r="D127" s="1557"/>
      <c r="E127" s="1558"/>
      <c r="F127" s="373"/>
      <c r="G127" s="374"/>
    </row>
    <row r="128" spans="2:7" ht="15" customHeight="1">
      <c r="B128" s="1550">
        <v>25</v>
      </c>
      <c r="C128" s="1554" t="s">
        <v>2433</v>
      </c>
      <c r="D128" s="1555" t="s">
        <v>375</v>
      </c>
      <c r="E128" s="1558" t="s">
        <v>386</v>
      </c>
      <c r="F128" s="373"/>
      <c r="G128" s="374"/>
    </row>
    <row r="129" spans="2:7">
      <c r="B129" s="1550"/>
      <c r="C129" s="1554"/>
      <c r="D129" s="1556"/>
      <c r="E129" s="1558"/>
      <c r="F129" s="373"/>
      <c r="G129" s="374"/>
    </row>
    <row r="130" spans="2:7">
      <c r="B130" s="1550"/>
      <c r="C130" s="1554"/>
      <c r="D130" s="1556"/>
      <c r="E130" s="1558"/>
      <c r="F130" s="373"/>
      <c r="G130" s="374"/>
    </row>
    <row r="131" spans="2:7">
      <c r="B131" s="1550"/>
      <c r="C131" s="1554"/>
      <c r="D131" s="1556"/>
      <c r="E131" s="1558"/>
      <c r="F131" s="373"/>
      <c r="G131" s="374"/>
    </row>
    <row r="132" spans="2:7">
      <c r="B132" s="1550"/>
      <c r="C132" s="1554"/>
      <c r="D132" s="1557"/>
      <c r="E132" s="1558"/>
      <c r="F132" s="373"/>
      <c r="G132" s="374"/>
    </row>
    <row r="133" spans="2:7" ht="15" customHeight="1">
      <c r="B133" s="1550">
        <v>26</v>
      </c>
      <c r="C133" s="1554" t="s">
        <v>2434</v>
      </c>
      <c r="D133" s="1555" t="s">
        <v>375</v>
      </c>
      <c r="E133" s="1550" t="s">
        <v>109</v>
      </c>
      <c r="F133" s="373"/>
      <c r="G133" s="374"/>
    </row>
    <row r="134" spans="2:7">
      <c r="B134" s="1550"/>
      <c r="C134" s="1554"/>
      <c r="D134" s="1556"/>
      <c r="E134" s="1550"/>
      <c r="F134" s="373"/>
      <c r="G134" s="374"/>
    </row>
    <row r="135" spans="2:7">
      <c r="B135" s="1550"/>
      <c r="C135" s="1554"/>
      <c r="D135" s="1556"/>
      <c r="E135" s="1550"/>
      <c r="F135" s="373"/>
      <c r="G135" s="374"/>
    </row>
    <row r="136" spans="2:7">
      <c r="B136" s="1550"/>
      <c r="C136" s="1554"/>
      <c r="D136" s="1556"/>
      <c r="E136" s="1550"/>
      <c r="F136" s="373"/>
      <c r="G136" s="374"/>
    </row>
    <row r="137" spans="2:7">
      <c r="B137" s="1550"/>
      <c r="C137" s="1554"/>
      <c r="D137" s="1556"/>
      <c r="E137" s="1550"/>
      <c r="F137" s="373"/>
      <c r="G137" s="374"/>
    </row>
    <row r="138" spans="2:7">
      <c r="B138" s="1550"/>
      <c r="C138" s="1554"/>
      <c r="D138" s="1556"/>
      <c r="E138" s="1550"/>
      <c r="F138" s="373"/>
      <c r="G138" s="374"/>
    </row>
    <row r="139" spans="2:7">
      <c r="B139" s="1550"/>
      <c r="C139" s="1554"/>
      <c r="D139" s="1557"/>
      <c r="E139" s="1550"/>
      <c r="F139" s="373"/>
      <c r="G139" s="374"/>
    </row>
    <row r="140" spans="2:7" ht="15" customHeight="1">
      <c r="B140" s="1550">
        <v>27</v>
      </c>
      <c r="C140" s="1554" t="s">
        <v>2435</v>
      </c>
      <c r="D140" s="1555" t="s">
        <v>387</v>
      </c>
      <c r="E140" s="1558" t="s">
        <v>388</v>
      </c>
      <c r="F140" s="373"/>
      <c r="G140" s="374"/>
    </row>
    <row r="141" spans="2:7">
      <c r="B141" s="1550"/>
      <c r="C141" s="1554"/>
      <c r="D141" s="1556"/>
      <c r="E141" s="1558"/>
      <c r="F141" s="373"/>
      <c r="G141" s="374"/>
    </row>
    <row r="142" spans="2:7">
      <c r="B142" s="1550"/>
      <c r="C142" s="1554"/>
      <c r="D142" s="1557"/>
      <c r="E142" s="1558"/>
      <c r="F142" s="373"/>
      <c r="G142" s="374"/>
    </row>
    <row r="143" spans="2:7" ht="15" customHeight="1">
      <c r="B143" s="1550">
        <v>28</v>
      </c>
      <c r="C143" s="1567" t="s">
        <v>2436</v>
      </c>
      <c r="D143" s="1555" t="s">
        <v>389</v>
      </c>
      <c r="E143" s="1558" t="s">
        <v>390</v>
      </c>
      <c r="F143" s="373"/>
      <c r="G143" s="374"/>
    </row>
    <row r="144" spans="2:7">
      <c r="B144" s="1550"/>
      <c r="C144" s="1567"/>
      <c r="D144" s="1556"/>
      <c r="E144" s="1558"/>
      <c r="F144" s="373"/>
      <c r="G144" s="374"/>
    </row>
    <row r="145" spans="2:7">
      <c r="B145" s="1550"/>
      <c r="C145" s="1567"/>
      <c r="D145" s="1556"/>
      <c r="E145" s="1558"/>
      <c r="F145" s="373"/>
      <c r="G145" s="374"/>
    </row>
    <row r="146" spans="2:7">
      <c r="B146" s="1550"/>
      <c r="C146" s="1567"/>
      <c r="D146" s="1557"/>
      <c r="E146" s="1558"/>
      <c r="F146" s="373"/>
      <c r="G146" s="374"/>
    </row>
    <row r="147" spans="2:7" ht="45">
      <c r="B147" s="382">
        <v>29</v>
      </c>
      <c r="C147" s="363" t="s">
        <v>2437</v>
      </c>
      <c r="D147" s="383" t="s">
        <v>389</v>
      </c>
      <c r="E147" s="362" t="s">
        <v>390</v>
      </c>
      <c r="F147" s="369"/>
      <c r="G147" s="369"/>
    </row>
    <row r="148" spans="2:7" ht="45">
      <c r="B148" s="382">
        <v>30</v>
      </c>
      <c r="C148" s="363" t="s">
        <v>2438</v>
      </c>
      <c r="D148" s="383" t="s">
        <v>389</v>
      </c>
      <c r="E148" s="378" t="s">
        <v>109</v>
      </c>
      <c r="F148" s="369"/>
      <c r="G148" s="369"/>
    </row>
    <row r="149" spans="2:7" ht="60">
      <c r="B149" s="382">
        <v>31</v>
      </c>
      <c r="C149" s="363" t="s">
        <v>2439</v>
      </c>
      <c r="D149" s="383" t="s">
        <v>389</v>
      </c>
      <c r="E149" s="362" t="s">
        <v>391</v>
      </c>
      <c r="F149" s="369"/>
      <c r="G149" s="369"/>
    </row>
    <row r="150" spans="2:7" ht="45">
      <c r="B150" s="382">
        <v>32</v>
      </c>
      <c r="C150" s="363" t="s">
        <v>2440</v>
      </c>
      <c r="D150" s="383" t="s">
        <v>387</v>
      </c>
      <c r="E150" s="361" t="s">
        <v>392</v>
      </c>
      <c r="F150" s="369"/>
      <c r="G150" s="369"/>
    </row>
    <row r="151" spans="2:7" ht="45">
      <c r="B151" s="382">
        <v>33</v>
      </c>
      <c r="C151" s="363" t="s">
        <v>2441</v>
      </c>
      <c r="D151" s="383" t="s">
        <v>376</v>
      </c>
      <c r="E151" s="362" t="s">
        <v>393</v>
      </c>
      <c r="F151" s="369"/>
      <c r="G151" s="369"/>
    </row>
    <row r="152" spans="2:7" ht="45">
      <c r="B152" s="382">
        <v>34</v>
      </c>
      <c r="C152" s="363" t="s">
        <v>2442</v>
      </c>
      <c r="D152" s="383" t="s">
        <v>387</v>
      </c>
      <c r="E152" s="362" t="s">
        <v>394</v>
      </c>
      <c r="F152" s="369"/>
      <c r="G152" s="369"/>
    </row>
    <row r="153" spans="2:7">
      <c r="B153" s="382">
        <v>35</v>
      </c>
      <c r="C153" s="364" t="s">
        <v>395</v>
      </c>
      <c r="D153" s="361"/>
      <c r="E153" s="378" t="s">
        <v>374</v>
      </c>
      <c r="F153" s="370"/>
      <c r="G153" s="370"/>
    </row>
    <row r="154" spans="2:7">
      <c r="B154" s="382">
        <v>36</v>
      </c>
      <c r="C154" s="365" t="s">
        <v>396</v>
      </c>
      <c r="D154" s="59"/>
      <c r="E154" s="59"/>
      <c r="F154" s="370"/>
      <c r="G154" s="369"/>
    </row>
    <row r="155" spans="2:7">
      <c r="B155" s="382">
        <v>37</v>
      </c>
      <c r="C155" s="365" t="s">
        <v>397</v>
      </c>
      <c r="D155" s="59"/>
      <c r="E155" s="378" t="s">
        <v>374</v>
      </c>
      <c r="F155" s="370"/>
      <c r="G155" s="370"/>
    </row>
    <row r="156" spans="2:7" ht="45">
      <c r="B156" s="382">
        <v>38</v>
      </c>
      <c r="C156" s="364" t="s">
        <v>398</v>
      </c>
      <c r="D156" s="361"/>
      <c r="E156" s="362" t="s">
        <v>394</v>
      </c>
      <c r="F156" s="370"/>
      <c r="G156" s="370"/>
    </row>
  </sheetData>
  <mergeCells count="119">
    <mergeCell ref="B140:B142"/>
    <mergeCell ref="C140:C142"/>
    <mergeCell ref="D140:D142"/>
    <mergeCell ref="E140:E142"/>
    <mergeCell ref="B143:B146"/>
    <mergeCell ref="C143:C146"/>
    <mergeCell ref="D143:D146"/>
    <mergeCell ref="E143:E146"/>
    <mergeCell ref="B128:B132"/>
    <mergeCell ref="C128:C132"/>
    <mergeCell ref="D128:D132"/>
    <mergeCell ref="E128:E132"/>
    <mergeCell ref="B133:B139"/>
    <mergeCell ref="C133:C139"/>
    <mergeCell ref="D133:D139"/>
    <mergeCell ref="E133:E139"/>
    <mergeCell ref="B122:B124"/>
    <mergeCell ref="C122:C124"/>
    <mergeCell ref="D122:D124"/>
    <mergeCell ref="E122:E124"/>
    <mergeCell ref="B125:B127"/>
    <mergeCell ref="C125:C127"/>
    <mergeCell ref="D125:D127"/>
    <mergeCell ref="E125:E127"/>
    <mergeCell ref="B116:B118"/>
    <mergeCell ref="C116:C118"/>
    <mergeCell ref="D116:D118"/>
    <mergeCell ref="E116:E118"/>
    <mergeCell ref="B119:B121"/>
    <mergeCell ref="C119:C121"/>
    <mergeCell ref="D119:D121"/>
    <mergeCell ref="E119:E121"/>
    <mergeCell ref="B109:B112"/>
    <mergeCell ref="C109:C112"/>
    <mergeCell ref="D109:D112"/>
    <mergeCell ref="E109:E112"/>
    <mergeCell ref="B113:B115"/>
    <mergeCell ref="C113:C115"/>
    <mergeCell ref="D113:D115"/>
    <mergeCell ref="E113:E115"/>
    <mergeCell ref="B102:B104"/>
    <mergeCell ref="C102:C104"/>
    <mergeCell ref="D102:D104"/>
    <mergeCell ref="E102:E104"/>
    <mergeCell ref="B105:B108"/>
    <mergeCell ref="C105:C108"/>
    <mergeCell ref="D105:D108"/>
    <mergeCell ref="E105:E108"/>
    <mergeCell ref="B96:B98"/>
    <mergeCell ref="C96:C98"/>
    <mergeCell ref="D96:D98"/>
    <mergeCell ref="E96:E98"/>
    <mergeCell ref="B99:B101"/>
    <mergeCell ref="C99:C101"/>
    <mergeCell ref="D99:D101"/>
    <mergeCell ref="E99:E101"/>
    <mergeCell ref="B90:B92"/>
    <mergeCell ref="C90:C92"/>
    <mergeCell ref="D90:D92"/>
    <mergeCell ref="E90:E92"/>
    <mergeCell ref="B93:B95"/>
    <mergeCell ref="C93:C95"/>
    <mergeCell ref="D93:D95"/>
    <mergeCell ref="E93:E95"/>
    <mergeCell ref="B82:B86"/>
    <mergeCell ref="C82:C86"/>
    <mergeCell ref="D82:D86"/>
    <mergeCell ref="E82:E86"/>
    <mergeCell ref="B87:B89"/>
    <mergeCell ref="C87:C89"/>
    <mergeCell ref="D87:D89"/>
    <mergeCell ref="E87:E89"/>
    <mergeCell ref="B77:B78"/>
    <mergeCell ref="C77:C78"/>
    <mergeCell ref="D77:D78"/>
    <mergeCell ref="E77:E78"/>
    <mergeCell ref="B79:B81"/>
    <mergeCell ref="C79:C81"/>
    <mergeCell ref="D79:D81"/>
    <mergeCell ref="E79:E81"/>
    <mergeCell ref="B70:B74"/>
    <mergeCell ref="C70:C74"/>
    <mergeCell ref="D70:D74"/>
    <mergeCell ref="E70:E74"/>
    <mergeCell ref="B75:B76"/>
    <mergeCell ref="C75:C76"/>
    <mergeCell ref="D75:D76"/>
    <mergeCell ref="E75:E76"/>
    <mergeCell ref="B65:B66"/>
    <mergeCell ref="C65:C66"/>
    <mergeCell ref="D65:D66"/>
    <mergeCell ref="E65:E66"/>
    <mergeCell ref="B67:B69"/>
    <mergeCell ref="C67:C69"/>
    <mergeCell ref="D67:D69"/>
    <mergeCell ref="E67:E69"/>
    <mergeCell ref="B61:B64"/>
    <mergeCell ref="C61:C64"/>
    <mergeCell ref="D61:D64"/>
    <mergeCell ref="E61:E64"/>
    <mergeCell ref="B10:E10"/>
    <mergeCell ref="B11:E11"/>
    <mergeCell ref="B12:E12"/>
    <mergeCell ref="B13:E13"/>
    <mergeCell ref="B15:G15"/>
    <mergeCell ref="B57:B58"/>
    <mergeCell ref="C57:C58"/>
    <mergeCell ref="D57:D58"/>
    <mergeCell ref="E57:E58"/>
    <mergeCell ref="F1:G1"/>
    <mergeCell ref="B2:G2"/>
    <mergeCell ref="B6:E6"/>
    <mergeCell ref="B7:E7"/>
    <mergeCell ref="B8:E8"/>
    <mergeCell ref="B9:E9"/>
    <mergeCell ref="B59:B60"/>
    <mergeCell ref="C59:C60"/>
    <mergeCell ref="D59:D60"/>
    <mergeCell ref="E59:E60"/>
  </mergeCells>
  <pageMargins left="0.68" right="0.15748031496063" top="0.74803149606299202" bottom="0.74803149606299202" header="0.31496062992126" footer="0.31496062992126"/>
  <pageSetup paperSize="9" scale="90" orientation="portrait" r:id="rId1"/>
</worksheet>
</file>

<file path=xl/worksheets/sheet21.xml><?xml version="1.0" encoding="utf-8"?>
<worksheet xmlns="http://schemas.openxmlformats.org/spreadsheetml/2006/main" xmlns:r="http://schemas.openxmlformats.org/officeDocument/2006/relationships">
  <sheetPr>
    <tabColor rgb="FFFF0000"/>
  </sheetPr>
  <dimension ref="B1:K60"/>
  <sheetViews>
    <sheetView topLeftCell="A13" workbookViewId="0">
      <selection activeCell="C20" sqref="C20"/>
    </sheetView>
  </sheetViews>
  <sheetFormatPr defaultRowHeight="15"/>
  <cols>
    <col min="2" max="2" width="6.5703125" customWidth="1"/>
    <col min="3" max="3" width="20.5703125" customWidth="1"/>
    <col min="4" max="4" width="9" customWidth="1"/>
    <col min="5" max="5" width="24.28515625" customWidth="1"/>
    <col min="6" max="6" width="13.85546875" customWidth="1"/>
    <col min="7" max="7" width="15.85546875" customWidth="1"/>
    <col min="9" max="9" width="10.5703125" bestFit="1" customWidth="1"/>
    <col min="11" max="11" width="10.28515625" bestFit="1" customWidth="1"/>
  </cols>
  <sheetData>
    <row r="1" spans="2:10">
      <c r="B1" s="154"/>
      <c r="C1" s="154"/>
      <c r="D1" s="154"/>
      <c r="E1" s="154"/>
      <c r="F1" s="154"/>
      <c r="G1" s="154"/>
    </row>
    <row r="2" spans="2:10" s="228" customFormat="1" ht="15.75">
      <c r="B2" s="198"/>
      <c r="E2" s="144"/>
      <c r="F2" s="144"/>
      <c r="G2" s="231" t="s">
        <v>248</v>
      </c>
      <c r="J2" s="228">
        <f>234*2</f>
        <v>468</v>
      </c>
    </row>
    <row r="3" spans="2:10" s="228" customFormat="1" ht="18.75">
      <c r="B3" s="1419" t="s">
        <v>75</v>
      </c>
      <c r="C3" s="1419"/>
      <c r="D3" s="1419"/>
      <c r="E3" s="1419"/>
      <c r="F3" s="1419"/>
      <c r="G3" s="1419"/>
      <c r="J3" s="228">
        <f>J2*3</f>
        <v>1404</v>
      </c>
    </row>
    <row r="4" spans="2:10" s="228" customFormat="1" ht="15.75">
      <c r="B4" s="1437" t="s">
        <v>164</v>
      </c>
      <c r="C4" s="1437"/>
      <c r="D4" s="1437"/>
      <c r="E4" s="1437"/>
      <c r="F4" s="1437"/>
      <c r="G4" s="1437"/>
    </row>
    <row r="5" spans="2:10" s="228" customFormat="1" ht="15.75">
      <c r="B5" s="1539" t="s">
        <v>165</v>
      </c>
      <c r="C5" s="1539"/>
      <c r="D5" s="1539"/>
      <c r="E5" s="1539"/>
      <c r="F5" s="1539"/>
      <c r="G5" s="1539"/>
    </row>
    <row r="6" spans="2:10" s="228" customFormat="1" ht="16.5" thickBot="1">
      <c r="B6" s="1"/>
      <c r="C6" s="1"/>
      <c r="D6" s="2"/>
      <c r="E6" s="148"/>
      <c r="F6" s="144"/>
    </row>
    <row r="7" spans="2:10" s="228" customFormat="1" ht="15.75">
      <c r="B7" s="1424" t="s">
        <v>76</v>
      </c>
      <c r="C7" s="1425"/>
      <c r="D7" s="1425"/>
      <c r="E7" s="1425"/>
      <c r="F7" s="322" t="s">
        <v>258</v>
      </c>
      <c r="G7" s="232"/>
    </row>
    <row r="8" spans="2:10" s="228" customFormat="1" ht="15.75">
      <c r="B8" s="1426" t="s">
        <v>77</v>
      </c>
      <c r="C8" s="1427"/>
      <c r="D8" s="1427"/>
      <c r="E8" s="1427"/>
      <c r="F8" s="166" t="s">
        <v>366</v>
      </c>
      <c r="G8" s="89"/>
    </row>
    <row r="9" spans="2:10" s="228" customFormat="1" ht="15.75">
      <c r="B9" s="1426" t="s">
        <v>78</v>
      </c>
      <c r="C9" s="1427"/>
      <c r="D9" s="1427"/>
      <c r="E9" s="1427"/>
      <c r="F9" s="124">
        <v>43133</v>
      </c>
      <c r="G9" s="89"/>
    </row>
    <row r="10" spans="2:10" s="228" customFormat="1" ht="15.75">
      <c r="B10" s="1426" t="s">
        <v>183</v>
      </c>
      <c r="C10" s="1427"/>
      <c r="D10" s="1427"/>
      <c r="E10" s="1427"/>
      <c r="F10" s="124">
        <v>43314</v>
      </c>
      <c r="G10" s="89"/>
    </row>
    <row r="11" spans="2:10" s="228" customFormat="1" ht="16.5" thickBot="1">
      <c r="B11" s="1426" t="s">
        <v>184</v>
      </c>
      <c r="C11" s="1427"/>
      <c r="D11" s="1427"/>
      <c r="E11" s="1427"/>
      <c r="F11" s="321">
        <v>43014</v>
      </c>
      <c r="G11" s="89"/>
    </row>
    <row r="12" spans="2:10" s="228" customFormat="1" ht="16.5" thickBot="1">
      <c r="B12" s="1426" t="s">
        <v>97</v>
      </c>
      <c r="C12" s="1427"/>
      <c r="D12" s="1427"/>
      <c r="E12" s="1427"/>
      <c r="F12" s="124" t="s">
        <v>259</v>
      </c>
      <c r="G12" s="89"/>
      <c r="I12" s="302">
        <v>127646</v>
      </c>
    </row>
    <row r="13" spans="2:10" s="228" customFormat="1" ht="16.5" thickBot="1">
      <c r="B13" s="1426" t="s">
        <v>98</v>
      </c>
      <c r="C13" s="1427"/>
      <c r="D13" s="1427"/>
      <c r="E13" s="1427"/>
      <c r="F13" s="124" t="s">
        <v>260</v>
      </c>
      <c r="G13" s="89"/>
      <c r="I13" s="303">
        <v>405000</v>
      </c>
    </row>
    <row r="14" spans="2:10" s="228" customFormat="1" ht="16.5" thickBot="1">
      <c r="B14" s="1428" t="s">
        <v>79</v>
      </c>
      <c r="C14" s="1429"/>
      <c r="D14" s="1429"/>
      <c r="E14" s="1429"/>
      <c r="F14" s="323" t="s">
        <v>110</v>
      </c>
      <c r="G14" s="233"/>
    </row>
    <row r="15" spans="2:10" s="228" customFormat="1" ht="15.75">
      <c r="B15" s="5"/>
      <c r="C15" s="99"/>
      <c r="D15" s="21"/>
      <c r="E15" s="149"/>
      <c r="F15" s="147"/>
      <c r="G15" s="99"/>
    </row>
    <row r="16" spans="2:10" ht="15.75">
      <c r="B16" s="7"/>
      <c r="C16" s="7"/>
      <c r="D16" s="3"/>
      <c r="E16" s="154"/>
      <c r="F16" s="154"/>
      <c r="G16" s="154"/>
    </row>
    <row r="17" spans="2:11" ht="15.75">
      <c r="B17" s="1420" t="s">
        <v>99</v>
      </c>
      <c r="C17" s="1420"/>
      <c r="D17" s="1420"/>
      <c r="E17" s="1420"/>
      <c r="F17" s="1420"/>
      <c r="G17" s="1420"/>
    </row>
    <row r="18" spans="2:11" ht="15.75">
      <c r="B18" s="7"/>
      <c r="C18" s="7"/>
      <c r="D18" s="3"/>
      <c r="E18" s="154"/>
      <c r="F18" s="154"/>
      <c r="G18" s="154"/>
    </row>
    <row r="19" spans="2:11" ht="15.75">
      <c r="B19" s="150" t="s">
        <v>100</v>
      </c>
      <c r="C19" s="155"/>
      <c r="D19" s="156"/>
      <c r="E19" s="155"/>
      <c r="F19" s="155"/>
      <c r="G19" s="155"/>
    </row>
    <row r="20" spans="2:11" ht="15.75">
      <c r="B20" s="150" t="s">
        <v>101</v>
      </c>
      <c r="C20" s="155"/>
      <c r="D20" s="156"/>
      <c r="E20" s="155"/>
      <c r="F20" s="155"/>
      <c r="G20" s="155"/>
    </row>
    <row r="21" spans="2:11" s="228" customFormat="1" ht="15.75">
      <c r="B21" s="150"/>
      <c r="C21" s="155"/>
      <c r="D21" s="156"/>
      <c r="E21" s="155"/>
      <c r="F21" s="155"/>
      <c r="G21" s="155"/>
    </row>
    <row r="22" spans="2:11" ht="16.5" thickBot="1">
      <c r="B22" s="150"/>
      <c r="C22" s="155"/>
      <c r="D22" s="156"/>
      <c r="E22" s="155"/>
      <c r="F22" s="155"/>
      <c r="G22" s="300" t="s">
        <v>257</v>
      </c>
    </row>
    <row r="23" spans="2:11">
      <c r="B23" s="1573" t="s">
        <v>102</v>
      </c>
      <c r="C23" s="1573"/>
      <c r="D23" s="1573"/>
      <c r="E23" s="179" t="s">
        <v>106</v>
      </c>
      <c r="F23" s="179" t="s">
        <v>103</v>
      </c>
      <c r="G23" s="200" t="s">
        <v>107</v>
      </c>
    </row>
    <row r="24" spans="2:11" ht="16.5" thickBot="1">
      <c r="B24" s="191" t="s">
        <v>104</v>
      </c>
      <c r="C24" s="184"/>
      <c r="D24" s="184"/>
      <c r="E24" s="184"/>
      <c r="F24" s="184"/>
      <c r="G24" s="192"/>
    </row>
    <row r="25" spans="2:11" ht="64.5" customHeight="1" thickBot="1">
      <c r="B25" s="45">
        <v>1</v>
      </c>
      <c r="C25" s="1572" t="s">
        <v>161</v>
      </c>
      <c r="D25" s="1572"/>
      <c r="E25" s="201" t="s">
        <v>173</v>
      </c>
      <c r="F25" s="199">
        <v>13832000</v>
      </c>
      <c r="G25" s="1571">
        <f>(F25+F27)/2</f>
        <v>13660500</v>
      </c>
      <c r="K25" s="193"/>
    </row>
    <row r="26" spans="2:11" ht="135.75" thickBot="1">
      <c r="B26" s="45">
        <v>2</v>
      </c>
      <c r="C26" s="1572"/>
      <c r="D26" s="1572"/>
      <c r="E26" s="202" t="s">
        <v>174</v>
      </c>
      <c r="F26" s="199">
        <v>10900000</v>
      </c>
      <c r="G26" s="1571"/>
    </row>
    <row r="27" spans="2:11" ht="63.75" customHeight="1" thickBot="1">
      <c r="B27" s="45">
        <v>3</v>
      </c>
      <c r="C27" s="1572"/>
      <c r="D27" s="1572"/>
      <c r="E27" s="202" t="s">
        <v>178</v>
      </c>
      <c r="F27" s="199">
        <v>13489000</v>
      </c>
      <c r="G27" s="1571"/>
    </row>
    <row r="28" spans="2:11" ht="16.5" thickBot="1">
      <c r="B28" s="159"/>
      <c r="C28" s="158"/>
      <c r="D28" s="158"/>
      <c r="E28" s="185"/>
      <c r="F28" s="186"/>
      <c r="G28" s="185"/>
    </row>
    <row r="29" spans="2:11" ht="16.5" thickBot="1">
      <c r="B29" s="181" t="s">
        <v>192</v>
      </c>
      <c r="C29" s="182"/>
      <c r="D29" s="182"/>
      <c r="E29" s="180"/>
      <c r="F29" s="183"/>
      <c r="G29" s="180">
        <f>SUM(G25:G28)</f>
        <v>13660500</v>
      </c>
    </row>
    <row r="30" spans="2:11">
      <c r="B30" s="154"/>
      <c r="C30" s="154"/>
      <c r="D30" s="154"/>
      <c r="E30" s="154"/>
      <c r="F30" s="154"/>
      <c r="G30" s="154"/>
    </row>
    <row r="31" spans="2:11" s="228" customFormat="1">
      <c r="B31" s="154"/>
      <c r="C31" s="154"/>
      <c r="D31" s="154"/>
      <c r="E31" s="154"/>
      <c r="F31" s="154"/>
      <c r="G31" s="154"/>
    </row>
    <row r="32" spans="2:11" s="228" customFormat="1">
      <c r="B32" s="154"/>
      <c r="C32" s="154"/>
      <c r="D32" s="154"/>
      <c r="E32" s="154"/>
      <c r="F32" s="154"/>
      <c r="G32" s="154"/>
    </row>
    <row r="33" spans="2:11" s="228" customFormat="1">
      <c r="B33" s="154"/>
      <c r="C33" s="154"/>
      <c r="D33" s="154"/>
      <c r="E33" s="154"/>
      <c r="F33" s="154"/>
      <c r="G33" s="154"/>
    </row>
    <row r="34" spans="2:11" s="228" customFormat="1">
      <c r="B34" s="154"/>
      <c r="C34" s="154"/>
      <c r="D34" s="154"/>
      <c r="E34" s="154"/>
      <c r="F34" s="154"/>
      <c r="G34" s="154"/>
    </row>
    <row r="35" spans="2:11" s="228" customFormat="1">
      <c r="B35" s="154"/>
      <c r="C35" s="154"/>
      <c r="D35" s="154"/>
      <c r="E35" s="154"/>
      <c r="F35" s="154"/>
      <c r="G35" s="154"/>
    </row>
    <row r="36" spans="2:11" s="228" customFormat="1">
      <c r="B36" s="154"/>
      <c r="C36" s="154"/>
      <c r="D36" s="154"/>
      <c r="E36" s="154"/>
      <c r="F36" s="154"/>
      <c r="G36" s="154"/>
    </row>
    <row r="37" spans="2:11">
      <c r="B37" s="154"/>
      <c r="C37" s="154"/>
      <c r="D37" s="154"/>
      <c r="E37" s="154"/>
      <c r="F37" s="154"/>
      <c r="G37" s="154"/>
    </row>
    <row r="38" spans="2:11" ht="15.75">
      <c r="B38" s="150" t="s">
        <v>105</v>
      </c>
      <c r="C38" s="155"/>
      <c r="D38" s="155"/>
      <c r="E38" s="156"/>
      <c r="F38" s="155"/>
      <c r="G38" s="155"/>
      <c r="H38" s="151"/>
    </row>
    <row r="39" spans="2:11" ht="15.75">
      <c r="B39" s="150" t="s">
        <v>101</v>
      </c>
      <c r="C39" s="155"/>
      <c r="D39" s="155"/>
      <c r="E39" s="156"/>
      <c r="F39" s="155"/>
      <c r="G39" s="155"/>
      <c r="H39" s="151"/>
    </row>
    <row r="40" spans="2:11" ht="15.75">
      <c r="B40" s="150"/>
      <c r="C40" s="155"/>
      <c r="D40" s="155"/>
      <c r="E40" s="156"/>
      <c r="F40" s="155"/>
      <c r="G40" s="155"/>
      <c r="H40" s="151"/>
    </row>
    <row r="41" spans="2:11" ht="15.75" thickBot="1">
      <c r="B41" s="154"/>
      <c r="C41" s="154"/>
      <c r="D41" s="154"/>
      <c r="E41" s="154"/>
      <c r="F41" s="162"/>
      <c r="G41" s="163"/>
      <c r="H41" s="152"/>
    </row>
    <row r="42" spans="2:11" s="228" customFormat="1" ht="16.5" thickBot="1">
      <c r="B42" s="164" t="s">
        <v>172</v>
      </c>
      <c r="C42" s="158"/>
      <c r="D42" s="160"/>
      <c r="E42" s="157" t="s">
        <v>106</v>
      </c>
      <c r="F42" s="157" t="s">
        <v>103</v>
      </c>
      <c r="G42" s="157" t="s">
        <v>107</v>
      </c>
    </row>
    <row r="43" spans="2:11" ht="78" customHeight="1">
      <c r="B43" s="297" t="s">
        <v>48</v>
      </c>
      <c r="C43" s="1574" t="s">
        <v>166</v>
      </c>
      <c r="D43" s="1575"/>
      <c r="E43" s="203" t="s">
        <v>167</v>
      </c>
      <c r="F43" s="177">
        <v>55312000</v>
      </c>
      <c r="G43" s="1569">
        <f>(F43+F44)/2</f>
        <v>56321495</v>
      </c>
    </row>
    <row r="44" spans="2:11" s="153" customFormat="1" ht="76.5" customHeight="1" thickBot="1">
      <c r="B44" s="298" t="s">
        <v>49</v>
      </c>
      <c r="C44" s="1576"/>
      <c r="D44" s="1577"/>
      <c r="E44" s="205" t="s">
        <v>168</v>
      </c>
      <c r="F44" s="178">
        <v>57330990</v>
      </c>
      <c r="G44" s="1570"/>
      <c r="I44" s="190"/>
      <c r="K44" s="187"/>
    </row>
    <row r="45" spans="2:11" ht="16.5" thickBot="1">
      <c r="B45" s="159" t="s">
        <v>193</v>
      </c>
      <c r="C45" s="188"/>
      <c r="D45" s="188"/>
      <c r="E45" s="188"/>
      <c r="F45" s="189"/>
      <c r="G45" s="161">
        <f>SUM(G43:G44)</f>
        <v>56321495</v>
      </c>
    </row>
    <row r="46" spans="2:11" s="228" customFormat="1" ht="15.75">
      <c r="B46" s="295"/>
      <c r="C46" s="295"/>
      <c r="D46" s="295"/>
      <c r="E46" s="295"/>
      <c r="F46" s="295"/>
      <c r="G46" s="296"/>
    </row>
    <row r="47" spans="2:11" s="228" customFormat="1" ht="16.5" thickBot="1">
      <c r="B47" s="295"/>
      <c r="C47" s="295"/>
      <c r="D47" s="295"/>
      <c r="E47" s="295"/>
      <c r="F47" s="295"/>
      <c r="G47" s="296"/>
    </row>
    <row r="48" spans="2:11" s="228" customFormat="1" ht="16.5" thickBot="1">
      <c r="B48" s="159"/>
      <c r="C48" s="188" t="s">
        <v>256</v>
      </c>
      <c r="D48" s="188"/>
      <c r="E48" s="188"/>
      <c r="F48" s="188"/>
      <c r="G48" s="299">
        <f>G29+G45</f>
        <v>69981995</v>
      </c>
      <c r="J48" s="228">
        <v>22.76</v>
      </c>
      <c r="K48" s="228">
        <f>J48-13.5</f>
        <v>9.2600000000000016</v>
      </c>
    </row>
    <row r="49" spans="2:11" s="228" customFormat="1" ht="15.75">
      <c r="B49" s="295"/>
      <c r="C49" s="295"/>
      <c r="D49" s="295"/>
      <c r="E49" s="295"/>
      <c r="F49" s="295"/>
      <c r="G49" s="296"/>
      <c r="J49" s="228">
        <v>64.03</v>
      </c>
      <c r="K49" s="228">
        <f>J49-13.5</f>
        <v>50.53</v>
      </c>
    </row>
    <row r="50" spans="2:11" s="228" customFormat="1" ht="15.75">
      <c r="B50" s="295"/>
      <c r="C50" s="295"/>
      <c r="D50" s="295"/>
      <c r="E50" s="295"/>
      <c r="F50" s="295"/>
      <c r="G50" s="296"/>
    </row>
    <row r="52" spans="2:11" s="228" customFormat="1" ht="15.75">
      <c r="B52" s="150" t="s">
        <v>254</v>
      </c>
      <c r="C52" s="155"/>
      <c r="D52" s="155"/>
      <c r="E52" s="156"/>
      <c r="F52" s="155"/>
      <c r="G52" s="155"/>
      <c r="H52" s="151"/>
    </row>
    <row r="53" spans="2:11" s="228" customFormat="1" ht="15.75">
      <c r="B53" s="150" t="s">
        <v>101</v>
      </c>
      <c r="C53" s="155"/>
      <c r="D53" s="155"/>
      <c r="E53" s="156"/>
      <c r="F53" s="155"/>
      <c r="G53" s="155"/>
      <c r="H53" s="151"/>
    </row>
    <row r="54" spans="2:11" s="228" customFormat="1" ht="15.75" hidden="1">
      <c r="B54" s="150"/>
      <c r="C54" s="155"/>
      <c r="D54" s="155"/>
      <c r="E54" s="156"/>
      <c r="F54" s="155"/>
      <c r="G54" s="155"/>
      <c r="H54" s="151"/>
    </row>
    <row r="55" spans="2:11" s="228" customFormat="1">
      <c r="B55" s="154"/>
      <c r="C55" s="154"/>
      <c r="D55" s="154"/>
      <c r="E55" s="154"/>
      <c r="F55" s="162"/>
      <c r="G55" s="163"/>
      <c r="H55" s="152"/>
      <c r="J55" s="228">
        <f>70000+55000</f>
        <v>125000</v>
      </c>
    </row>
    <row r="56" spans="2:11" ht="15.75" thickBot="1">
      <c r="J56">
        <f>J55*12</f>
        <v>1500000</v>
      </c>
    </row>
    <row r="57" spans="2:11" ht="16.5" thickBot="1">
      <c r="B57" s="164" t="s">
        <v>172</v>
      </c>
      <c r="C57" s="158"/>
      <c r="D57" s="160"/>
      <c r="E57" s="157" t="s">
        <v>106</v>
      </c>
      <c r="F57" s="157" t="s">
        <v>103</v>
      </c>
      <c r="G57" s="157" t="s">
        <v>107</v>
      </c>
    </row>
    <row r="58" spans="2:11" ht="65.25" customHeight="1">
      <c r="B58" s="297" t="s">
        <v>48</v>
      </c>
      <c r="C58" s="1578" t="s">
        <v>170</v>
      </c>
      <c r="D58" s="1579"/>
      <c r="E58" s="203" t="s">
        <v>169</v>
      </c>
      <c r="F58" s="177">
        <v>125575100</v>
      </c>
      <c r="G58" s="1569">
        <f>(F58+F59)/2</f>
        <v>128048911</v>
      </c>
    </row>
    <row r="59" spans="2:11" ht="60.75" customHeight="1" thickBot="1">
      <c r="B59" s="298" t="s">
        <v>49</v>
      </c>
      <c r="C59" s="1580"/>
      <c r="D59" s="1581"/>
      <c r="E59" s="204" t="s">
        <v>171</v>
      </c>
      <c r="F59" s="178">
        <v>130522722</v>
      </c>
      <c r="G59" s="1570"/>
    </row>
    <row r="60" spans="2:11" s="228" customFormat="1" ht="16.5" thickBot="1">
      <c r="B60" s="159" t="s">
        <v>255</v>
      </c>
      <c r="C60" s="188"/>
      <c r="D60" s="188"/>
      <c r="E60" s="188"/>
      <c r="F60" s="189"/>
      <c r="G60" s="161">
        <f>G58</f>
        <v>128048911</v>
      </c>
    </row>
  </sheetData>
  <mergeCells count="19">
    <mergeCell ref="B17:G17"/>
    <mergeCell ref="G58:G59"/>
    <mergeCell ref="G43:G44"/>
    <mergeCell ref="G25:G27"/>
    <mergeCell ref="C25:D27"/>
    <mergeCell ref="B23:D23"/>
    <mergeCell ref="C43:D44"/>
    <mergeCell ref="C58:D59"/>
    <mergeCell ref="B12:E12"/>
    <mergeCell ref="B13:E13"/>
    <mergeCell ref="B14:E14"/>
    <mergeCell ref="B3:G3"/>
    <mergeCell ref="B4:G4"/>
    <mergeCell ref="B5:G5"/>
    <mergeCell ref="B7:E7"/>
    <mergeCell ref="B8:E8"/>
    <mergeCell ref="B9:E9"/>
    <mergeCell ref="B10:E10"/>
    <mergeCell ref="B11:E11"/>
  </mergeCells>
  <pageMargins left="0.81" right="0.23622047244094499" top="0.82" bottom="0.32" header="0.82" footer="0.31496062992126"/>
  <pageSetup paperSize="9" orientation="portrait" r:id="rId1"/>
</worksheet>
</file>

<file path=xl/worksheets/sheet22.xml><?xml version="1.0" encoding="utf-8"?>
<worksheet xmlns="http://schemas.openxmlformats.org/spreadsheetml/2006/main" xmlns:r="http://schemas.openxmlformats.org/officeDocument/2006/relationships">
  <sheetPr>
    <tabColor rgb="FFFF0000"/>
  </sheetPr>
  <dimension ref="A1:G19"/>
  <sheetViews>
    <sheetView zoomScale="85" zoomScaleNormal="85" workbookViewId="0">
      <selection activeCell="H4" sqref="H4"/>
    </sheetView>
  </sheetViews>
  <sheetFormatPr defaultColWidth="9.140625" defaultRowHeight="18.75"/>
  <cols>
    <col min="1" max="1" width="9.140625" style="206"/>
    <col min="2" max="2" width="32.140625" style="206" customWidth="1"/>
    <col min="3" max="3" width="20" style="206" bestFit="1" customWidth="1"/>
    <col min="4" max="4" width="24.5703125" style="206" customWidth="1"/>
    <col min="5" max="5" width="11.42578125" style="206" customWidth="1"/>
    <col min="6" max="6" width="30.7109375" style="206" bestFit="1" customWidth="1"/>
    <col min="7" max="16384" width="9.140625" style="206"/>
  </cols>
  <sheetData>
    <row r="1" spans="1:7">
      <c r="D1" s="294" t="s">
        <v>249</v>
      </c>
    </row>
    <row r="2" spans="1:7">
      <c r="A2" s="1584" t="s">
        <v>75</v>
      </c>
      <c r="B2" s="1584"/>
      <c r="C2" s="1584"/>
      <c r="D2" s="1584"/>
      <c r="E2" s="1584"/>
    </row>
    <row r="3" spans="1:7" ht="49.5" customHeight="1" thickBot="1">
      <c r="A3" s="1585" t="s">
        <v>160</v>
      </c>
      <c r="B3" s="1585"/>
      <c r="C3" s="1585"/>
      <c r="D3" s="1585"/>
      <c r="E3" s="1585"/>
    </row>
    <row r="4" spans="1:7" s="234" customFormat="1" ht="15.75">
      <c r="B4" s="1424" t="s">
        <v>76</v>
      </c>
      <c r="C4" s="1425"/>
      <c r="D4" s="1425"/>
      <c r="E4" s="1425"/>
      <c r="F4" s="324" t="s">
        <v>258</v>
      </c>
      <c r="G4" s="99"/>
    </row>
    <row r="5" spans="1:7" s="234" customFormat="1" ht="15.75">
      <c r="B5" s="1426" t="s">
        <v>77</v>
      </c>
      <c r="C5" s="1427"/>
      <c r="D5" s="1427"/>
      <c r="E5" s="1427"/>
      <c r="F5" s="166" t="s">
        <v>366</v>
      </c>
      <c r="G5" s="99"/>
    </row>
    <row r="6" spans="1:7" s="234" customFormat="1" ht="15.75">
      <c r="B6" s="1426" t="s">
        <v>78</v>
      </c>
      <c r="C6" s="1427"/>
      <c r="D6" s="1427"/>
      <c r="E6" s="1427"/>
      <c r="F6" s="314">
        <v>43133</v>
      </c>
      <c r="G6" s="99"/>
    </row>
    <row r="7" spans="1:7" s="234" customFormat="1" ht="15.75">
      <c r="B7" s="1426" t="s">
        <v>183</v>
      </c>
      <c r="C7" s="1427"/>
      <c r="D7" s="1427"/>
      <c r="E7" s="1427"/>
      <c r="F7" s="314">
        <v>43314</v>
      </c>
      <c r="G7" s="99"/>
    </row>
    <row r="8" spans="1:7" s="234" customFormat="1" ht="15.75">
      <c r="B8" s="1426" t="s">
        <v>184</v>
      </c>
      <c r="C8" s="1427"/>
      <c r="D8" s="1427"/>
      <c r="E8" s="1427"/>
      <c r="F8" s="315">
        <v>43014</v>
      </c>
      <c r="G8" s="99"/>
    </row>
    <row r="9" spans="1:7" s="234" customFormat="1" ht="15.75">
      <c r="B9" s="1426" t="s">
        <v>97</v>
      </c>
      <c r="C9" s="1427"/>
      <c r="D9" s="1427"/>
      <c r="E9" s="1427"/>
      <c r="F9" s="314" t="s">
        <v>259</v>
      </c>
      <c r="G9" s="99"/>
    </row>
    <row r="10" spans="1:7" s="234" customFormat="1" ht="15.75">
      <c r="B10" s="1426" t="s">
        <v>98</v>
      </c>
      <c r="C10" s="1427"/>
      <c r="D10" s="1427"/>
      <c r="E10" s="1427"/>
      <c r="F10" s="314" t="s">
        <v>260</v>
      </c>
      <c r="G10" s="99"/>
    </row>
    <row r="11" spans="1:7" s="234" customFormat="1" ht="16.5" thickBot="1">
      <c r="B11" s="1428" t="s">
        <v>79</v>
      </c>
      <c r="C11" s="1429"/>
      <c r="D11" s="1429"/>
      <c r="E11" s="1429"/>
      <c r="F11" s="325" t="s">
        <v>110</v>
      </c>
      <c r="G11" s="99"/>
    </row>
    <row r="12" spans="1:7" s="234" customFormat="1" ht="15.75">
      <c r="B12" s="5"/>
      <c r="C12" s="235"/>
      <c r="D12" s="147"/>
      <c r="E12" s="236"/>
    </row>
    <row r="13" spans="1:7">
      <c r="A13" s="1582" t="s">
        <v>195</v>
      </c>
      <c r="B13" s="1582"/>
      <c r="C13" s="1582"/>
      <c r="D13" s="1582"/>
      <c r="E13" s="1582"/>
    </row>
    <row r="14" spans="1:7">
      <c r="A14" s="1583" t="s">
        <v>194</v>
      </c>
      <c r="B14" s="1583"/>
      <c r="C14" s="1583"/>
      <c r="D14" s="1583"/>
    </row>
    <row r="15" spans="1:7" ht="19.5" thickBot="1"/>
    <row r="16" spans="1:7" ht="26.25" customHeight="1" thickBot="1">
      <c r="A16" s="210" t="s">
        <v>144</v>
      </c>
      <c r="B16" s="211" t="s">
        <v>179</v>
      </c>
      <c r="C16" s="211" t="s">
        <v>180</v>
      </c>
      <c r="D16" s="212" t="s">
        <v>53</v>
      </c>
    </row>
    <row r="17" spans="1:4" ht="37.5">
      <c r="A17" s="207">
        <v>1</v>
      </c>
      <c r="B17" s="208" t="s">
        <v>22</v>
      </c>
      <c r="C17" s="240">
        <f>'Valuation 2j'!G29</f>
        <v>13660500</v>
      </c>
      <c r="D17" s="209" t="s">
        <v>181</v>
      </c>
    </row>
    <row r="18" spans="1:4" ht="38.25" thickBot="1">
      <c r="A18" s="207">
        <v>2</v>
      </c>
      <c r="B18" s="208" t="s">
        <v>162</v>
      </c>
      <c r="C18" s="240" t="e">
        <f>#REF!</f>
        <v>#REF!</v>
      </c>
      <c r="D18" s="209" t="s">
        <v>182</v>
      </c>
    </row>
    <row r="19" spans="1:4" s="239" customFormat="1" ht="28.5" customHeight="1" thickBot="1">
      <c r="A19" s="237"/>
      <c r="B19" s="238" t="s">
        <v>58</v>
      </c>
      <c r="C19" s="241" t="e">
        <f>SUM(C17:C18)</f>
        <v>#REF!</v>
      </c>
      <c r="D19" s="238"/>
    </row>
  </sheetData>
  <mergeCells count="12">
    <mergeCell ref="A13:E13"/>
    <mergeCell ref="A14:D14"/>
    <mergeCell ref="A2:E2"/>
    <mergeCell ref="A3:E3"/>
    <mergeCell ref="B4:E4"/>
    <mergeCell ref="B5:E5"/>
    <mergeCell ref="B6:E6"/>
    <mergeCell ref="B7:E7"/>
    <mergeCell ref="B8:E8"/>
    <mergeCell ref="B9:E9"/>
    <mergeCell ref="B10:E10"/>
    <mergeCell ref="B11:E11"/>
  </mergeCells>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dimension ref="A1:F13"/>
  <sheetViews>
    <sheetView workbookViewId="0">
      <selection activeCell="A3" sqref="A3"/>
    </sheetView>
  </sheetViews>
  <sheetFormatPr defaultRowHeight="15"/>
  <cols>
    <col min="1" max="1" width="8.7109375" customWidth="1"/>
    <col min="2" max="2" width="20.7109375" customWidth="1"/>
    <col min="3" max="3" width="37.28515625" customWidth="1"/>
    <col min="4" max="4" width="87.85546875" customWidth="1"/>
    <col min="5" max="5" width="30.28515625" style="60" customWidth="1"/>
    <col min="6" max="6" width="30.28515625" customWidth="1"/>
  </cols>
  <sheetData>
    <row r="1" spans="1:6">
      <c r="A1" s="1586" t="s">
        <v>67</v>
      </c>
      <c r="B1" s="1587"/>
      <c r="C1" s="1588"/>
      <c r="D1" s="87"/>
    </row>
    <row r="2" spans="1:6">
      <c r="A2" s="88"/>
      <c r="B2" s="96"/>
      <c r="C2" s="89"/>
    </row>
    <row r="3" spans="1:6">
      <c r="A3" s="90" t="s">
        <v>66</v>
      </c>
      <c r="B3" s="97"/>
      <c r="C3" s="89"/>
    </row>
    <row r="4" spans="1:6">
      <c r="A4" s="90"/>
      <c r="B4" s="97"/>
      <c r="C4" s="89"/>
    </row>
    <row r="5" spans="1:6">
      <c r="A5" s="91"/>
      <c r="B5" s="98"/>
      <c r="C5" s="89"/>
    </row>
    <row r="6" spans="1:6" ht="15.75" thickBot="1">
      <c r="A6" s="92"/>
      <c r="B6" s="99"/>
      <c r="C6" s="89"/>
    </row>
    <row r="7" spans="1:6" s="60" customFormat="1" ht="32.25" thickBot="1">
      <c r="A7" s="83" t="s">
        <v>68</v>
      </c>
      <c r="B7" s="81"/>
      <c r="C7" s="81" t="s">
        <v>60</v>
      </c>
      <c r="D7" s="86"/>
      <c r="E7" s="65" t="s">
        <v>61</v>
      </c>
      <c r="F7" s="84" t="s">
        <v>62</v>
      </c>
    </row>
    <row r="8" spans="1:6" ht="16.5" thickBot="1">
      <c r="A8" s="66"/>
      <c r="B8" s="100"/>
      <c r="C8" s="68"/>
      <c r="D8" s="67"/>
      <c r="E8" s="66"/>
      <c r="F8" s="68"/>
    </row>
    <row r="9" spans="1:6" s="60" customFormat="1" ht="16.5" thickBot="1">
      <c r="A9" s="69">
        <v>1</v>
      </c>
      <c r="B9" s="104" t="s">
        <v>72</v>
      </c>
      <c r="C9" s="105" t="s">
        <v>73</v>
      </c>
      <c r="D9" s="106"/>
      <c r="E9" s="85"/>
      <c r="F9" s="107"/>
    </row>
    <row r="10" spans="1:6" ht="15.75">
      <c r="A10" s="70"/>
      <c r="B10" s="101"/>
      <c r="C10" s="80"/>
      <c r="D10" s="71"/>
      <c r="E10" s="70"/>
      <c r="F10" s="72"/>
    </row>
    <row r="11" spans="1:6" ht="126">
      <c r="A11" s="73" t="s">
        <v>48</v>
      </c>
      <c r="B11" s="102"/>
      <c r="C11" s="93" t="s">
        <v>69</v>
      </c>
      <c r="D11" s="74"/>
      <c r="E11" s="82" t="s">
        <v>63</v>
      </c>
      <c r="F11" s="75" t="s">
        <v>64</v>
      </c>
    </row>
    <row r="12" spans="1:6" ht="189">
      <c r="A12" s="73" t="s">
        <v>49</v>
      </c>
      <c r="B12" s="102"/>
      <c r="C12" s="93" t="s">
        <v>70</v>
      </c>
      <c r="D12" s="74"/>
      <c r="E12" s="82" t="s">
        <v>63</v>
      </c>
      <c r="F12" s="76" t="s">
        <v>65</v>
      </c>
    </row>
    <row r="13" spans="1:6" ht="95.25" thickBot="1">
      <c r="A13" s="94" t="s">
        <v>50</v>
      </c>
      <c r="B13" s="103"/>
      <c r="C13" s="95" t="s">
        <v>71</v>
      </c>
      <c r="D13" s="78"/>
      <c r="E13" s="77"/>
      <c r="F13" s="79"/>
    </row>
  </sheetData>
  <mergeCells count="1">
    <mergeCell ref="A1:C1"/>
  </mergeCells>
  <pageMargins left="0.7" right="0.7" top="0.75" bottom="0.75" header="0.3" footer="0.3"/>
</worksheet>
</file>

<file path=xl/worksheets/sheet24.xml><?xml version="1.0" encoding="utf-8"?>
<worksheet xmlns="http://schemas.openxmlformats.org/spreadsheetml/2006/main" xmlns:r="http://schemas.openxmlformats.org/officeDocument/2006/relationships">
  <dimension ref="A1:J27"/>
  <sheetViews>
    <sheetView topLeftCell="A7" workbookViewId="0">
      <selection activeCell="F14" sqref="F14"/>
    </sheetView>
  </sheetViews>
  <sheetFormatPr defaultColWidth="9.140625" defaultRowHeight="15.75"/>
  <cols>
    <col min="1" max="1" width="8.5703125" style="27" customWidth="1"/>
    <col min="2" max="2" width="39.28515625" style="27" customWidth="1"/>
    <col min="3" max="3" width="31.42578125" style="27" customWidth="1"/>
    <col min="4" max="4" width="9.140625" style="27"/>
    <col min="5" max="5" width="9.140625" style="1"/>
    <col min="6" max="6" width="30" style="1" bestFit="1" customWidth="1"/>
    <col min="7" max="10" width="9.140625" style="1"/>
    <col min="11" max="16384" width="9.140625" style="27"/>
  </cols>
  <sheetData>
    <row r="1" spans="1:10" s="221" customFormat="1">
      <c r="A1" s="1422" t="s">
        <v>75</v>
      </c>
      <c r="B1" s="1422"/>
      <c r="C1" s="1422"/>
      <c r="D1" s="223"/>
      <c r="E1" s="225"/>
      <c r="F1" s="225"/>
      <c r="G1" s="225"/>
      <c r="H1" s="225"/>
      <c r="I1" s="225"/>
      <c r="J1" s="225"/>
    </row>
    <row r="2" spans="1:10" s="221" customFormat="1" ht="33.75" customHeight="1">
      <c r="A2" s="1591" t="s">
        <v>160</v>
      </c>
      <c r="B2" s="1591"/>
      <c r="C2" s="1591"/>
      <c r="D2" s="1591"/>
      <c r="E2" s="224"/>
      <c r="F2" s="224"/>
      <c r="G2" s="224"/>
      <c r="H2" s="224"/>
      <c r="I2" s="224"/>
      <c r="J2" s="224"/>
    </row>
    <row r="3" spans="1:10" s="221" customFormat="1" ht="16.5" thickBot="1">
      <c r="A3" s="222"/>
      <c r="B3" s="57"/>
    </row>
    <row r="4" spans="1:10" s="221" customFormat="1">
      <c r="A4" s="222"/>
      <c r="B4" s="1424" t="s">
        <v>76</v>
      </c>
      <c r="C4" s="1425"/>
      <c r="D4" s="1425"/>
      <c r="E4" s="1425"/>
      <c r="F4" s="322" t="s">
        <v>258</v>
      </c>
      <c r="G4" s="232"/>
    </row>
    <row r="5" spans="1:10" s="221" customFormat="1">
      <c r="A5" s="222"/>
      <c r="B5" s="1426" t="s">
        <v>77</v>
      </c>
      <c r="C5" s="1427"/>
      <c r="D5" s="1427"/>
      <c r="E5" s="1427"/>
      <c r="F5" s="166" t="s">
        <v>366</v>
      </c>
      <c r="G5" s="89"/>
    </row>
    <row r="6" spans="1:10" s="221" customFormat="1">
      <c r="A6" s="222"/>
      <c r="B6" s="1426" t="s">
        <v>78</v>
      </c>
      <c r="C6" s="1427"/>
      <c r="D6" s="1427"/>
      <c r="E6" s="1427"/>
      <c r="F6" s="124">
        <v>43133</v>
      </c>
      <c r="G6" s="89"/>
    </row>
    <row r="7" spans="1:10" s="221" customFormat="1">
      <c r="A7" s="222"/>
      <c r="B7" s="1426" t="s">
        <v>183</v>
      </c>
      <c r="C7" s="1427"/>
      <c r="D7" s="1427"/>
      <c r="E7" s="1427"/>
      <c r="F7" s="124">
        <v>43314</v>
      </c>
      <c r="G7" s="89"/>
    </row>
    <row r="8" spans="1:10" s="221" customFormat="1">
      <c r="A8" s="222"/>
      <c r="B8" s="1426" t="s">
        <v>184</v>
      </c>
      <c r="C8" s="1427"/>
      <c r="D8" s="1427"/>
      <c r="E8" s="1427"/>
      <c r="F8" s="321">
        <v>43014</v>
      </c>
      <c r="G8" s="89"/>
    </row>
    <row r="9" spans="1:10" s="221" customFormat="1">
      <c r="A9" s="222"/>
      <c r="B9" s="1426" t="s">
        <v>97</v>
      </c>
      <c r="C9" s="1427"/>
      <c r="D9" s="1427"/>
      <c r="E9" s="1427"/>
      <c r="F9" s="124" t="s">
        <v>259</v>
      </c>
      <c r="G9" s="89"/>
    </row>
    <row r="10" spans="1:10" s="221" customFormat="1">
      <c r="A10" s="222"/>
      <c r="B10" s="1426" t="s">
        <v>98</v>
      </c>
      <c r="C10" s="1427"/>
      <c r="D10" s="1427"/>
      <c r="E10" s="1427"/>
      <c r="F10" s="124" t="s">
        <v>260</v>
      </c>
      <c r="G10" s="89"/>
    </row>
    <row r="11" spans="1:10" s="221" customFormat="1" ht="16.5" thickBot="1">
      <c r="A11" s="222"/>
      <c r="B11" s="1428" t="s">
        <v>79</v>
      </c>
      <c r="C11" s="1429"/>
      <c r="D11" s="1429"/>
      <c r="E11" s="1429"/>
      <c r="F11" s="323" t="s">
        <v>110</v>
      </c>
      <c r="G11" s="233"/>
    </row>
    <row r="13" spans="1:10">
      <c r="B13" s="1590" t="s">
        <v>399</v>
      </c>
      <c r="C13" s="1590"/>
    </row>
    <row r="14" spans="1:10" s="29" customFormat="1" ht="16.5" thickBot="1">
      <c r="B14" s="1589" t="s">
        <v>185</v>
      </c>
      <c r="C14" s="1589"/>
      <c r="E14" s="5"/>
      <c r="F14" s="5"/>
      <c r="G14" s="5"/>
      <c r="H14" s="5"/>
      <c r="I14" s="5"/>
      <c r="J14" s="5"/>
    </row>
    <row r="15" spans="1:10" ht="16.5" thickBot="1">
      <c r="B15" s="170" t="s">
        <v>51</v>
      </c>
      <c r="C15" s="171" t="s">
        <v>159</v>
      </c>
    </row>
    <row r="16" spans="1:10">
      <c r="B16" s="328" t="s">
        <v>148</v>
      </c>
      <c r="C16" s="329">
        <v>1983907</v>
      </c>
    </row>
    <row r="17" spans="2:3">
      <c r="B17" s="330" t="s">
        <v>149</v>
      </c>
      <c r="C17" s="331">
        <v>320390</v>
      </c>
    </row>
    <row r="18" spans="2:3">
      <c r="B18" s="330" t="s">
        <v>150</v>
      </c>
      <c r="C18" s="331">
        <v>393683</v>
      </c>
    </row>
    <row r="19" spans="2:3">
      <c r="B19" s="330" t="s">
        <v>151</v>
      </c>
      <c r="C19" s="331">
        <v>71</v>
      </c>
    </row>
    <row r="20" spans="2:3">
      <c r="B20" s="330" t="s">
        <v>152</v>
      </c>
      <c r="C20" s="331">
        <v>2963</v>
      </c>
    </row>
    <row r="21" spans="2:3">
      <c r="B21" s="330" t="s">
        <v>153</v>
      </c>
      <c r="C21" s="331">
        <v>293</v>
      </c>
    </row>
    <row r="22" spans="2:3">
      <c r="B22" s="330" t="s">
        <v>154</v>
      </c>
      <c r="C22" s="331">
        <v>4934</v>
      </c>
    </row>
    <row r="23" spans="2:3">
      <c r="B23" s="330" t="s">
        <v>155</v>
      </c>
      <c r="C23" s="331">
        <v>741</v>
      </c>
    </row>
    <row r="24" spans="2:3">
      <c r="B24" s="330" t="s">
        <v>156</v>
      </c>
      <c r="C24" s="331">
        <v>58094</v>
      </c>
    </row>
    <row r="25" spans="2:3">
      <c r="B25" s="330" t="s">
        <v>157</v>
      </c>
      <c r="C25" s="331">
        <v>810942</v>
      </c>
    </row>
    <row r="26" spans="2:3" ht="16.5" thickBot="1">
      <c r="B26" s="332" t="s">
        <v>158</v>
      </c>
      <c r="C26" s="333">
        <v>212996</v>
      </c>
    </row>
    <row r="27" spans="2:3" ht="16.5" thickBot="1">
      <c r="B27" s="172" t="s">
        <v>58</v>
      </c>
      <c r="C27" s="173">
        <f>SUM(C16:C26)</f>
        <v>3789014</v>
      </c>
    </row>
  </sheetData>
  <mergeCells count="12">
    <mergeCell ref="B14:C14"/>
    <mergeCell ref="B13:C13"/>
    <mergeCell ref="A1:C1"/>
    <mergeCell ref="A2:D2"/>
    <mergeCell ref="B4:E4"/>
    <mergeCell ref="B5:E5"/>
    <mergeCell ref="B6:E6"/>
    <mergeCell ref="B7:E7"/>
    <mergeCell ref="B8:E8"/>
    <mergeCell ref="B9:E9"/>
    <mergeCell ref="B10:E10"/>
    <mergeCell ref="B11:E11"/>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dimension ref="A1:I30"/>
  <sheetViews>
    <sheetView topLeftCell="A25" workbookViewId="0">
      <selection activeCell="F9" sqref="F9"/>
    </sheetView>
  </sheetViews>
  <sheetFormatPr defaultRowHeight="15"/>
  <cols>
    <col min="1" max="1" width="18.28515625" customWidth="1"/>
    <col min="2" max="2" width="15.28515625" customWidth="1"/>
    <col min="3" max="3" width="16.85546875" customWidth="1"/>
    <col min="4" max="4" width="19.140625" customWidth="1"/>
    <col min="5" max="5" width="10.140625" customWidth="1"/>
    <col min="6" max="6" width="15.28515625" customWidth="1"/>
    <col min="7" max="7" width="15.7109375" customWidth="1"/>
    <col min="8" max="8" width="13.42578125" customWidth="1"/>
    <col min="9" max="9" width="15.42578125" customWidth="1"/>
  </cols>
  <sheetData>
    <row r="1" spans="1:9" ht="18.75">
      <c r="A1" s="239" t="s">
        <v>299</v>
      </c>
      <c r="B1" s="206"/>
      <c r="C1" s="206"/>
      <c r="D1" s="206"/>
      <c r="E1" s="206"/>
      <c r="F1" s="206"/>
      <c r="G1" s="206"/>
      <c r="H1" s="206"/>
      <c r="I1" s="206"/>
    </row>
    <row r="2" spans="1:9" ht="18.75">
      <c r="A2" s="366" t="s">
        <v>196</v>
      </c>
      <c r="B2" s="367"/>
      <c r="C2" s="367"/>
      <c r="D2" s="206"/>
      <c r="E2" s="206"/>
      <c r="F2" s="206"/>
      <c r="G2" s="206"/>
      <c r="H2" s="206"/>
      <c r="I2" s="206"/>
    </row>
    <row r="3" spans="1:9" ht="18.75">
      <c r="A3" s="206"/>
      <c r="B3" s="206"/>
      <c r="C3" s="206"/>
      <c r="D3" s="206"/>
      <c r="E3" s="206"/>
      <c r="F3" s="206"/>
      <c r="G3" s="206"/>
      <c r="H3" s="206"/>
      <c r="I3" s="206"/>
    </row>
    <row r="4" spans="1:9" ht="18.75">
      <c r="A4" s="206" t="s">
        <v>197</v>
      </c>
      <c r="B4" s="206"/>
      <c r="C4" s="206"/>
      <c r="D4" s="206"/>
      <c r="E4" s="206"/>
      <c r="F4" s="206"/>
      <c r="G4" s="206"/>
      <c r="H4" s="206"/>
      <c r="I4" s="206"/>
    </row>
    <row r="5" spans="1:9" ht="18.75">
      <c r="A5" s="206"/>
      <c r="B5" s="206"/>
      <c r="C5" s="206"/>
      <c r="D5" s="206"/>
      <c r="E5" s="206"/>
      <c r="F5" s="206"/>
      <c r="G5" s="206"/>
      <c r="H5" s="206"/>
      <c r="I5" s="206"/>
    </row>
    <row r="6" spans="1:9" ht="18.75">
      <c r="A6" s="242" t="s">
        <v>198</v>
      </c>
      <c r="B6" s="206"/>
      <c r="C6" s="206"/>
      <c r="D6" s="206"/>
      <c r="E6" s="206"/>
      <c r="F6" s="206"/>
      <c r="G6" s="206"/>
      <c r="H6" s="206"/>
      <c r="I6" s="206"/>
    </row>
    <row r="7" spans="1:9" ht="19.5" thickBot="1">
      <c r="A7" s="242"/>
      <c r="B7" s="206"/>
      <c r="C7" s="206"/>
      <c r="D7" s="206"/>
      <c r="E7" s="206"/>
      <c r="F7" s="206"/>
      <c r="G7" s="206"/>
      <c r="H7" s="206"/>
      <c r="I7" s="206"/>
    </row>
    <row r="8" spans="1:9" ht="57" thickBot="1">
      <c r="A8" s="264" t="s">
        <v>199</v>
      </c>
      <c r="B8" s="265" t="s">
        <v>200</v>
      </c>
      <c r="C8" s="266" t="s">
        <v>201</v>
      </c>
      <c r="D8" s="1596" t="s">
        <v>202</v>
      </c>
      <c r="E8" s="1597"/>
      <c r="F8" s="1598"/>
      <c r="G8" s="267" t="s">
        <v>203</v>
      </c>
      <c r="H8" s="268" t="s">
        <v>187</v>
      </c>
      <c r="I8" s="269" t="s">
        <v>204</v>
      </c>
    </row>
    <row r="9" spans="1:9" ht="132" thickBot="1">
      <c r="A9" s="285"/>
      <c r="B9" s="286"/>
      <c r="C9" s="286"/>
      <c r="D9" s="276" t="s">
        <v>205</v>
      </c>
      <c r="E9" s="276" t="s">
        <v>206</v>
      </c>
      <c r="F9" s="275" t="s">
        <v>207</v>
      </c>
      <c r="G9" s="286"/>
      <c r="H9" s="286"/>
      <c r="I9" s="293"/>
    </row>
    <row r="10" spans="1:9" ht="131.25">
      <c r="A10" s="289" t="s">
        <v>208</v>
      </c>
      <c r="B10" s="263" t="s">
        <v>209</v>
      </c>
      <c r="C10" s="290" t="s">
        <v>210</v>
      </c>
      <c r="D10" s="252">
        <v>10</v>
      </c>
      <c r="E10" s="290">
        <v>5.25</v>
      </c>
      <c r="F10" s="263" t="s">
        <v>211</v>
      </c>
      <c r="G10" s="263" t="s">
        <v>212</v>
      </c>
      <c r="H10" s="291" t="s">
        <v>213</v>
      </c>
      <c r="I10" s="292" t="s">
        <v>214</v>
      </c>
    </row>
    <row r="11" spans="1:9" ht="112.5">
      <c r="A11" s="251" t="s">
        <v>215</v>
      </c>
      <c r="B11" s="244" t="s">
        <v>216</v>
      </c>
      <c r="C11" s="245" t="s">
        <v>210</v>
      </c>
      <c r="D11" s="247">
        <v>4</v>
      </c>
      <c r="E11" s="245">
        <v>0.65</v>
      </c>
      <c r="F11" s="245" t="s">
        <v>217</v>
      </c>
      <c r="G11" s="244" t="s">
        <v>212</v>
      </c>
      <c r="H11" s="246" t="s">
        <v>213</v>
      </c>
      <c r="I11" s="253" t="s">
        <v>214</v>
      </c>
    </row>
    <row r="12" spans="1:9" ht="187.5">
      <c r="A12" s="251" t="s">
        <v>218</v>
      </c>
      <c r="B12" s="244" t="s">
        <v>219</v>
      </c>
      <c r="C12" s="244" t="s">
        <v>108</v>
      </c>
      <c r="D12" s="247">
        <v>1.35</v>
      </c>
      <c r="E12" s="245">
        <v>0.14000000000000001</v>
      </c>
      <c r="F12" s="245" t="s">
        <v>220</v>
      </c>
      <c r="G12" s="244" t="s">
        <v>212</v>
      </c>
      <c r="H12" s="246" t="s">
        <v>213</v>
      </c>
      <c r="I12" s="253" t="s">
        <v>214</v>
      </c>
    </row>
    <row r="13" spans="1:9" ht="131.25">
      <c r="A13" s="251" t="s">
        <v>221</v>
      </c>
      <c r="B13" s="244" t="s">
        <v>222</v>
      </c>
      <c r="C13" s="245" t="s">
        <v>210</v>
      </c>
      <c r="D13" s="252">
        <v>8.31</v>
      </c>
      <c r="E13" s="245"/>
      <c r="F13" s="244" t="s">
        <v>223</v>
      </c>
      <c r="G13" s="244" t="s">
        <v>224</v>
      </c>
      <c r="H13" s="246" t="s">
        <v>213</v>
      </c>
      <c r="I13" s="253" t="s">
        <v>214</v>
      </c>
    </row>
    <row r="14" spans="1:9" ht="57" thickBot="1">
      <c r="A14" s="254" t="s">
        <v>225</v>
      </c>
      <c r="B14" s="255"/>
      <c r="C14" s="256"/>
      <c r="D14" s="257">
        <v>23.66</v>
      </c>
      <c r="E14" s="256">
        <v>6.04</v>
      </c>
      <c r="F14" s="256" t="s">
        <v>226</v>
      </c>
      <c r="G14" s="258" t="s">
        <v>227</v>
      </c>
      <c r="H14" s="259"/>
      <c r="I14" s="260"/>
    </row>
    <row r="15" spans="1:9" ht="18.75">
      <c r="A15" s="206"/>
      <c r="B15" s="206"/>
      <c r="C15" s="206"/>
      <c r="D15" s="206"/>
      <c r="E15" s="206"/>
      <c r="F15" s="206"/>
      <c r="G15" s="206"/>
      <c r="H15" s="206"/>
      <c r="I15" s="206"/>
    </row>
    <row r="16" spans="1:9" ht="18.75">
      <c r="A16" s="368"/>
      <c r="B16" s="368"/>
      <c r="C16" s="368"/>
      <c r="D16" s="368"/>
      <c r="E16" s="206"/>
      <c r="F16" s="206"/>
      <c r="G16" s="206"/>
      <c r="H16" s="206"/>
      <c r="I16" s="206"/>
    </row>
    <row r="17" spans="1:9" ht="18.75">
      <c r="A17" s="206"/>
      <c r="B17" s="206"/>
      <c r="C17" s="206"/>
      <c r="D17" s="206"/>
      <c r="E17" s="206"/>
      <c r="F17" s="206"/>
      <c r="G17" s="206"/>
      <c r="H17" s="206"/>
      <c r="I17" s="206"/>
    </row>
    <row r="18" spans="1:9" ht="18.75">
      <c r="A18" s="242" t="s">
        <v>228</v>
      </c>
      <c r="B18" s="206"/>
      <c r="C18" s="206"/>
      <c r="D18" s="206"/>
      <c r="E18" s="206"/>
      <c r="F18" s="206"/>
      <c r="G18" s="206"/>
      <c r="H18" s="206"/>
      <c r="I18" s="206"/>
    </row>
    <row r="19" spans="1:9" ht="19.5" thickBot="1">
      <c r="A19" s="206"/>
      <c r="B19" s="220"/>
      <c r="C19" s="220"/>
      <c r="D19" s="220"/>
      <c r="E19" s="220"/>
      <c r="F19" s="220"/>
      <c r="G19" s="220"/>
      <c r="H19" s="220"/>
      <c r="I19" s="220"/>
    </row>
    <row r="20" spans="1:9" ht="169.5" thickBot="1">
      <c r="A20" s="274" t="s">
        <v>229</v>
      </c>
      <c r="B20" s="275" t="s">
        <v>188</v>
      </c>
      <c r="C20" s="276" t="s">
        <v>230</v>
      </c>
      <c r="D20" s="276" t="s">
        <v>231</v>
      </c>
      <c r="E20" s="1599" t="s">
        <v>232</v>
      </c>
      <c r="F20" s="1600"/>
      <c r="G20" s="1601" t="s">
        <v>233</v>
      </c>
      <c r="H20" s="1602"/>
      <c r="I20" s="220"/>
    </row>
    <row r="21" spans="1:9" ht="132" thickBot="1">
      <c r="A21" s="270" t="s">
        <v>234</v>
      </c>
      <c r="B21" s="271" t="s">
        <v>235</v>
      </c>
      <c r="C21" s="272">
        <v>13.56</v>
      </c>
      <c r="D21" s="273" t="s">
        <v>236</v>
      </c>
      <c r="E21" s="1603" t="s">
        <v>237</v>
      </c>
      <c r="F21" s="1604"/>
      <c r="G21" s="1605">
        <v>8.2899999999999991</v>
      </c>
      <c r="H21" s="1606"/>
      <c r="I21" s="220"/>
    </row>
    <row r="22" spans="1:9" ht="18.75">
      <c r="A22" s="206"/>
      <c r="B22" s="206"/>
      <c r="C22" s="206"/>
      <c r="D22" s="206"/>
      <c r="E22" s="206"/>
      <c r="F22" s="206"/>
      <c r="G22" s="206"/>
      <c r="H22" s="206"/>
      <c r="I22" s="206"/>
    </row>
    <row r="23" spans="1:9" ht="18.75">
      <c r="A23" s="242" t="s">
        <v>238</v>
      </c>
      <c r="B23" s="206"/>
      <c r="C23" s="206"/>
      <c r="D23" s="206"/>
      <c r="E23" s="206"/>
      <c r="F23" s="206"/>
      <c r="G23" s="206"/>
      <c r="H23" s="206"/>
      <c r="I23" s="206"/>
    </row>
    <row r="24" spans="1:9" ht="13.5" customHeight="1" thickBot="1">
      <c r="A24" s="206"/>
      <c r="B24" s="220"/>
      <c r="C24" s="220"/>
      <c r="D24" s="220"/>
      <c r="E24" s="220"/>
      <c r="F24" s="220"/>
      <c r="G24" s="220"/>
      <c r="H24" s="220" t="s">
        <v>239</v>
      </c>
      <c r="I24" s="206"/>
    </row>
    <row r="25" spans="1:9" ht="57" thickBot="1">
      <c r="A25" s="280" t="s">
        <v>240</v>
      </c>
      <c r="B25" s="281" t="s">
        <v>241</v>
      </c>
      <c r="C25" s="1592" t="s">
        <v>242</v>
      </c>
      <c r="D25" s="1592"/>
      <c r="E25" s="1593" t="s">
        <v>243</v>
      </c>
      <c r="F25" s="1594"/>
      <c r="G25" s="1593" t="s">
        <v>244</v>
      </c>
      <c r="H25" s="1595"/>
      <c r="I25" s="206"/>
    </row>
    <row r="26" spans="1:9" ht="57" thickBot="1">
      <c r="A26" s="285"/>
      <c r="B26" s="286"/>
      <c r="C26" s="287" t="s">
        <v>245</v>
      </c>
      <c r="D26" s="287" t="s">
        <v>246</v>
      </c>
      <c r="E26" s="287" t="s">
        <v>245</v>
      </c>
      <c r="F26" s="287" t="s">
        <v>246</v>
      </c>
      <c r="G26" s="287" t="s">
        <v>245</v>
      </c>
      <c r="H26" s="288" t="s">
        <v>246</v>
      </c>
      <c r="I26" s="206"/>
    </row>
    <row r="27" spans="1:9" ht="18.75">
      <c r="A27" s="261"/>
      <c r="B27" s="262"/>
      <c r="C27" s="282"/>
      <c r="D27" s="282"/>
      <c r="E27" s="282"/>
      <c r="F27" s="282"/>
      <c r="G27" s="283"/>
      <c r="H27" s="284"/>
      <c r="I27" s="206"/>
    </row>
    <row r="28" spans="1:9" ht="18.75">
      <c r="A28" s="250"/>
      <c r="B28" s="243"/>
      <c r="C28" s="248"/>
      <c r="D28" s="248"/>
      <c r="E28" s="248"/>
      <c r="F28" s="248"/>
      <c r="G28" s="249"/>
      <c r="H28" s="277"/>
      <c r="I28" s="206"/>
    </row>
    <row r="29" spans="1:9" ht="18.75">
      <c r="A29" s="250"/>
      <c r="B29" s="243"/>
      <c r="C29" s="248"/>
      <c r="D29" s="248"/>
      <c r="E29" s="248"/>
      <c r="F29" s="248"/>
      <c r="G29" s="249"/>
      <c r="H29" s="277"/>
      <c r="I29" s="206"/>
    </row>
    <row r="30" spans="1:9" ht="5.25" customHeight="1" thickBot="1">
      <c r="A30" s="278"/>
      <c r="B30" s="255"/>
      <c r="C30" s="255"/>
      <c r="D30" s="255"/>
      <c r="E30" s="255"/>
      <c r="F30" s="255"/>
      <c r="G30" s="255"/>
      <c r="H30" s="279"/>
      <c r="I30" s="206"/>
    </row>
  </sheetData>
  <mergeCells count="8">
    <mergeCell ref="C25:D25"/>
    <mergeCell ref="E25:F25"/>
    <mergeCell ref="G25:H25"/>
    <mergeCell ref="D8:F8"/>
    <mergeCell ref="E20:F20"/>
    <mergeCell ref="G20:H20"/>
    <mergeCell ref="E21:F21"/>
    <mergeCell ref="G21:H21"/>
  </mergeCells>
  <pageMargins left="0.44" right="0.26" top="0.28999999999999998" bottom="0.16" header="0.3" footer="0.16"/>
  <pageSetup paperSize="9" orientation="landscape" r:id="rId1"/>
</worksheet>
</file>

<file path=xl/worksheets/sheet26.xml><?xml version="1.0" encoding="utf-8"?>
<worksheet xmlns="http://schemas.openxmlformats.org/spreadsheetml/2006/main" xmlns:r="http://schemas.openxmlformats.org/officeDocument/2006/relationships">
  <sheetPr>
    <tabColor rgb="FFFF0000"/>
  </sheetPr>
  <dimension ref="A1:L77"/>
  <sheetViews>
    <sheetView view="pageBreakPreview" topLeftCell="A6" zoomScale="95" zoomScaleSheetLayoutView="95" workbookViewId="0">
      <selection activeCell="A15" sqref="A15:G15"/>
    </sheetView>
  </sheetViews>
  <sheetFormatPr defaultColWidth="9.140625" defaultRowHeight="15.75"/>
  <cols>
    <col min="1" max="1" width="7.42578125" style="767" customWidth="1"/>
    <col min="2" max="2" width="24.42578125" style="762" customWidth="1"/>
    <col min="3" max="3" width="13.85546875" style="875" customWidth="1"/>
    <col min="4" max="4" width="12.7109375" style="762" customWidth="1"/>
    <col min="5" max="5" width="20.7109375" style="875" customWidth="1"/>
    <col min="6" max="6" width="35" style="770" customWidth="1"/>
    <col min="7" max="7" width="23" style="873" customWidth="1"/>
    <col min="8" max="8" width="32" style="762" customWidth="1"/>
    <col min="9" max="9" width="36.42578125" style="762" bestFit="1" customWidth="1"/>
    <col min="10" max="16384" width="9.140625" style="762"/>
  </cols>
  <sheetData>
    <row r="1" spans="1:7" ht="15" customHeight="1">
      <c r="G1" s="872" t="s">
        <v>2482</v>
      </c>
    </row>
    <row r="2" spans="1:7">
      <c r="A2" s="1607" t="s">
        <v>75</v>
      </c>
      <c r="B2" s="1607"/>
      <c r="C2" s="1607"/>
      <c r="D2" s="1607"/>
      <c r="E2" s="1607"/>
      <c r="F2" s="1607"/>
      <c r="G2" s="1607"/>
    </row>
    <row r="3" spans="1:7">
      <c r="A3" s="1608" t="s">
        <v>164</v>
      </c>
      <c r="B3" s="1608"/>
      <c r="C3" s="1608"/>
      <c r="D3" s="1608"/>
      <c r="E3" s="1608"/>
      <c r="F3" s="1608"/>
      <c r="G3" s="1608"/>
    </row>
    <row r="4" spans="1:7">
      <c r="A4" s="1609" t="s">
        <v>165</v>
      </c>
      <c r="B4" s="1609"/>
      <c r="C4" s="1609"/>
      <c r="D4" s="1609"/>
      <c r="E4" s="1609"/>
      <c r="F4" s="1609"/>
      <c r="G4" s="1609"/>
    </row>
    <row r="5" spans="1:7" ht="16.5" thickBot="1">
      <c r="A5" s="764"/>
      <c r="B5" s="764"/>
      <c r="C5" s="876"/>
      <c r="D5" s="771"/>
      <c r="E5" s="876"/>
      <c r="F5" s="786"/>
    </row>
    <row r="6" spans="1:7">
      <c r="A6" s="1616" t="s">
        <v>76</v>
      </c>
      <c r="B6" s="1610"/>
      <c r="C6" s="1610"/>
      <c r="D6" s="1610"/>
      <c r="E6" s="877"/>
      <c r="F6" s="1610" t="s">
        <v>2753</v>
      </c>
      <c r="G6" s="1611"/>
    </row>
    <row r="7" spans="1:7">
      <c r="A7" s="1617" t="s">
        <v>77</v>
      </c>
      <c r="B7" s="1612"/>
      <c r="C7" s="1612"/>
      <c r="D7" s="1612"/>
      <c r="E7" s="878"/>
      <c r="F7" s="1612" t="s">
        <v>2751</v>
      </c>
      <c r="G7" s="1613"/>
    </row>
    <row r="8" spans="1:7">
      <c r="A8" s="1617" t="s">
        <v>78</v>
      </c>
      <c r="B8" s="1612"/>
      <c r="C8" s="1612"/>
      <c r="D8" s="1612"/>
      <c r="E8" s="878"/>
      <c r="F8" s="1614">
        <v>43287</v>
      </c>
      <c r="G8" s="1615"/>
    </row>
    <row r="9" spans="1:7">
      <c r="A9" s="1617" t="s">
        <v>183</v>
      </c>
      <c r="B9" s="1612"/>
      <c r="C9" s="1612"/>
      <c r="D9" s="1612"/>
      <c r="E9" s="878"/>
      <c r="F9" s="1614">
        <v>43293</v>
      </c>
      <c r="G9" s="1615"/>
    </row>
    <row r="10" spans="1:7" hidden="1">
      <c r="A10" s="773" t="s">
        <v>184</v>
      </c>
      <c r="B10" s="772"/>
      <c r="C10" s="880"/>
      <c r="D10" s="772"/>
      <c r="E10" s="878"/>
      <c r="F10" s="772"/>
      <c r="G10" s="874"/>
    </row>
    <row r="11" spans="1:7">
      <c r="A11" s="1617" t="s">
        <v>2480</v>
      </c>
      <c r="B11" s="1612"/>
      <c r="C11" s="1612"/>
      <c r="D11" s="1612"/>
      <c r="E11" s="878"/>
      <c r="F11" s="1612" t="s">
        <v>2752</v>
      </c>
      <c r="G11" s="1613"/>
    </row>
    <row r="12" spans="1:7">
      <c r="A12" s="1617" t="s">
        <v>98</v>
      </c>
      <c r="B12" s="1612"/>
      <c r="C12" s="1612"/>
      <c r="D12" s="1612"/>
      <c r="E12" s="878"/>
      <c r="F12" s="1612" t="s">
        <v>2754</v>
      </c>
      <c r="G12" s="1613"/>
    </row>
    <row r="13" spans="1:7" ht="16.5" thickBot="1">
      <c r="A13" s="1626" t="s">
        <v>79</v>
      </c>
      <c r="B13" s="1627"/>
      <c r="C13" s="1627"/>
      <c r="D13" s="1627"/>
      <c r="E13" s="879"/>
      <c r="F13" s="1624">
        <f>+F8</f>
        <v>43287</v>
      </c>
      <c r="G13" s="1625"/>
    </row>
    <row r="14" spans="1:7" ht="16.5" thickBot="1"/>
    <row r="15" spans="1:7" ht="32.25" customHeight="1" thickBot="1">
      <c r="A15" s="1621" t="s">
        <v>2720</v>
      </c>
      <c r="B15" s="1622"/>
      <c r="C15" s="1622"/>
      <c r="D15" s="1622"/>
      <c r="E15" s="1622"/>
      <c r="F15" s="1622"/>
      <c r="G15" s="1623"/>
    </row>
    <row r="16" spans="1:7" ht="16.5" thickBot="1"/>
    <row r="17" spans="1:9" ht="46.5" customHeight="1">
      <c r="A17" s="885" t="s">
        <v>68</v>
      </c>
      <c r="B17" s="885" t="s">
        <v>2407</v>
      </c>
      <c r="C17" s="886" t="s">
        <v>2716</v>
      </c>
      <c r="D17" s="887" t="s">
        <v>2810</v>
      </c>
      <c r="E17" s="886" t="s">
        <v>2811</v>
      </c>
      <c r="F17" s="888" t="s">
        <v>2717</v>
      </c>
      <c r="G17" s="889" t="s">
        <v>2749</v>
      </c>
      <c r="H17" s="770"/>
    </row>
    <row r="18" spans="1:9" ht="31.5" customHeight="1">
      <c r="A18" s="890">
        <v>1</v>
      </c>
      <c r="B18" s="890" t="s">
        <v>2755</v>
      </c>
      <c r="C18" s="881">
        <v>392479</v>
      </c>
      <c r="D18" s="884">
        <v>0</v>
      </c>
      <c r="E18" s="890">
        <f>C18+D18</f>
        <v>392479</v>
      </c>
      <c r="F18" s="891" t="s">
        <v>2866</v>
      </c>
      <c r="G18" s="892">
        <v>392479</v>
      </c>
      <c r="H18" s="787"/>
    </row>
    <row r="19" spans="1:9" ht="31.5" customHeight="1">
      <c r="A19" s="890">
        <f>+A18+1</f>
        <v>2</v>
      </c>
      <c r="B19" s="890" t="s">
        <v>2756</v>
      </c>
      <c r="C19" s="881">
        <v>71540</v>
      </c>
      <c r="D19" s="884">
        <v>0</v>
      </c>
      <c r="E19" s="890">
        <f t="shared" ref="E19:E72" si="0">C19+D19</f>
        <v>71540</v>
      </c>
      <c r="F19" s="891" t="s">
        <v>2865</v>
      </c>
      <c r="G19" s="892">
        <v>71540</v>
      </c>
      <c r="H19" s="787"/>
    </row>
    <row r="20" spans="1:9" ht="31.5" customHeight="1">
      <c r="A20" s="890">
        <f t="shared" ref="A20:A72" si="1">+A19+1</f>
        <v>3</v>
      </c>
      <c r="B20" s="890" t="s">
        <v>2757</v>
      </c>
      <c r="C20" s="881">
        <v>246509</v>
      </c>
      <c r="D20" s="884">
        <v>0</v>
      </c>
      <c r="E20" s="890">
        <f t="shared" si="0"/>
        <v>246509</v>
      </c>
      <c r="F20" s="891" t="s">
        <v>2864</v>
      </c>
      <c r="G20" s="892">
        <v>246509</v>
      </c>
    </row>
    <row r="21" spans="1:9" ht="31.5" customHeight="1">
      <c r="A21" s="893">
        <f t="shared" si="1"/>
        <v>4</v>
      </c>
      <c r="B21" s="882" t="s">
        <v>2758</v>
      </c>
      <c r="C21" s="881">
        <v>432115</v>
      </c>
      <c r="D21" s="884">
        <v>0</v>
      </c>
      <c r="E21" s="890">
        <f t="shared" si="0"/>
        <v>432115</v>
      </c>
      <c r="F21" s="891" t="s">
        <v>2863</v>
      </c>
      <c r="G21" s="892">
        <v>432115</v>
      </c>
    </row>
    <row r="22" spans="1:9" ht="31.5" customHeight="1">
      <c r="A22" s="893">
        <f t="shared" si="1"/>
        <v>5</v>
      </c>
      <c r="B22" s="882" t="s">
        <v>2759</v>
      </c>
      <c r="C22" s="881">
        <v>435868</v>
      </c>
      <c r="D22" s="884">
        <v>0</v>
      </c>
      <c r="E22" s="890">
        <f t="shared" si="0"/>
        <v>435868</v>
      </c>
      <c r="F22" s="891" t="s">
        <v>2862</v>
      </c>
      <c r="G22" s="892">
        <v>435868</v>
      </c>
      <c r="H22" s="870"/>
      <c r="I22" s="871"/>
    </row>
    <row r="23" spans="1:9" ht="31.5" customHeight="1">
      <c r="A23" s="894">
        <f t="shared" si="1"/>
        <v>6</v>
      </c>
      <c r="B23" s="895" t="s">
        <v>2760</v>
      </c>
      <c r="C23" s="896">
        <v>232777</v>
      </c>
      <c r="D23" s="897">
        <v>0</v>
      </c>
      <c r="E23" s="898">
        <f t="shared" si="0"/>
        <v>232777</v>
      </c>
      <c r="F23" s="899" t="s">
        <v>2812</v>
      </c>
      <c r="G23" s="900">
        <v>232777</v>
      </c>
      <c r="H23" s="870"/>
      <c r="I23" s="871"/>
    </row>
    <row r="24" spans="1:9" ht="31.5" customHeight="1">
      <c r="A24" s="893">
        <f t="shared" si="1"/>
        <v>7</v>
      </c>
      <c r="B24" s="882" t="s">
        <v>2761</v>
      </c>
      <c r="C24" s="881">
        <v>162104</v>
      </c>
      <c r="D24" s="884">
        <v>0</v>
      </c>
      <c r="E24" s="890">
        <f t="shared" si="0"/>
        <v>162104</v>
      </c>
      <c r="F24" s="891" t="s">
        <v>2813</v>
      </c>
      <c r="G24" s="892">
        <v>162104</v>
      </c>
      <c r="H24" s="870"/>
      <c r="I24" s="871"/>
    </row>
    <row r="25" spans="1:9" ht="31.5" customHeight="1">
      <c r="A25" s="893">
        <f t="shared" si="1"/>
        <v>8</v>
      </c>
      <c r="B25" s="882" t="s">
        <v>2762</v>
      </c>
      <c r="C25" s="881">
        <v>967417</v>
      </c>
      <c r="D25" s="884">
        <v>0</v>
      </c>
      <c r="E25" s="890">
        <f t="shared" si="0"/>
        <v>967417</v>
      </c>
      <c r="F25" s="891" t="s">
        <v>2814</v>
      </c>
      <c r="G25" s="892">
        <v>967417</v>
      </c>
      <c r="H25" s="870"/>
      <c r="I25" s="871"/>
    </row>
    <row r="26" spans="1:9" ht="31.5" customHeight="1">
      <c r="A26" s="893">
        <f t="shared" si="1"/>
        <v>9</v>
      </c>
      <c r="B26" s="882" t="s">
        <v>2763</v>
      </c>
      <c r="C26" s="881">
        <v>239717</v>
      </c>
      <c r="D26" s="884">
        <v>0</v>
      </c>
      <c r="E26" s="890">
        <f t="shared" si="0"/>
        <v>239717</v>
      </c>
      <c r="F26" s="891" t="s">
        <v>2815</v>
      </c>
      <c r="G26" s="892">
        <v>239717</v>
      </c>
      <c r="H26" s="870"/>
      <c r="I26" s="871"/>
    </row>
    <row r="27" spans="1:9" ht="31.5" customHeight="1">
      <c r="A27" s="893">
        <f t="shared" si="1"/>
        <v>10</v>
      </c>
      <c r="B27" s="882" t="s">
        <v>2764</v>
      </c>
      <c r="C27" s="881">
        <v>209813</v>
      </c>
      <c r="D27" s="884">
        <v>0</v>
      </c>
      <c r="E27" s="890">
        <f t="shared" si="0"/>
        <v>209813</v>
      </c>
      <c r="F27" s="891" t="s">
        <v>2816</v>
      </c>
      <c r="G27" s="892">
        <v>209813</v>
      </c>
      <c r="H27" s="870"/>
      <c r="I27" s="871"/>
    </row>
    <row r="28" spans="1:9" ht="31.5" customHeight="1">
      <c r="A28" s="893">
        <f t="shared" si="1"/>
        <v>11</v>
      </c>
      <c r="B28" s="882" t="s">
        <v>2765</v>
      </c>
      <c r="C28" s="881">
        <v>644408</v>
      </c>
      <c r="D28" s="884">
        <v>0</v>
      </c>
      <c r="E28" s="890">
        <f t="shared" si="0"/>
        <v>644408</v>
      </c>
      <c r="F28" s="891" t="s">
        <v>2817</v>
      </c>
      <c r="G28" s="892">
        <v>644408</v>
      </c>
      <c r="H28" s="870"/>
      <c r="I28" s="871"/>
    </row>
    <row r="29" spans="1:9" ht="31.5" customHeight="1">
      <c r="A29" s="893">
        <f t="shared" si="1"/>
        <v>12</v>
      </c>
      <c r="B29" s="882" t="s">
        <v>2766</v>
      </c>
      <c r="C29" s="881">
        <v>212199</v>
      </c>
      <c r="D29" s="884">
        <v>0</v>
      </c>
      <c r="E29" s="890">
        <f t="shared" si="0"/>
        <v>212199</v>
      </c>
      <c r="F29" s="891" t="s">
        <v>2818</v>
      </c>
      <c r="G29" s="892">
        <v>212199</v>
      </c>
      <c r="H29" s="870"/>
      <c r="I29" s="871"/>
    </row>
    <row r="30" spans="1:9" ht="31.5" customHeight="1">
      <c r="A30" s="893">
        <f t="shared" si="1"/>
        <v>13</v>
      </c>
      <c r="B30" s="882" t="s">
        <v>2767</v>
      </c>
      <c r="C30" s="901">
        <v>103713</v>
      </c>
      <c r="D30" s="884">
        <v>0</v>
      </c>
      <c r="E30" s="890">
        <f t="shared" si="0"/>
        <v>103713</v>
      </c>
      <c r="F30" s="891" t="s">
        <v>2819</v>
      </c>
      <c r="G30" s="892">
        <v>103713</v>
      </c>
      <c r="H30" s="870"/>
      <c r="I30" s="871"/>
    </row>
    <row r="31" spans="1:9" ht="31.5" customHeight="1">
      <c r="A31" s="893">
        <f t="shared" si="1"/>
        <v>14</v>
      </c>
      <c r="B31" s="882" t="s">
        <v>2768</v>
      </c>
      <c r="C31" s="883">
        <v>258318</v>
      </c>
      <c r="D31" s="884">
        <v>0</v>
      </c>
      <c r="E31" s="890">
        <f t="shared" si="0"/>
        <v>258318</v>
      </c>
      <c r="F31" s="891" t="s">
        <v>2820</v>
      </c>
      <c r="G31" s="892">
        <v>258318</v>
      </c>
      <c r="H31" s="870"/>
      <c r="I31" s="871"/>
    </row>
    <row r="32" spans="1:9" ht="31.5" customHeight="1">
      <c r="A32" s="893">
        <f t="shared" si="1"/>
        <v>15</v>
      </c>
      <c r="B32" s="882" t="s">
        <v>2769</v>
      </c>
      <c r="C32" s="881">
        <v>111795</v>
      </c>
      <c r="D32" s="884">
        <v>0</v>
      </c>
      <c r="E32" s="890">
        <f t="shared" si="0"/>
        <v>111795</v>
      </c>
      <c r="F32" s="891" t="s">
        <v>2821</v>
      </c>
      <c r="G32" s="892">
        <v>111795</v>
      </c>
      <c r="H32" s="870"/>
      <c r="I32" s="871"/>
    </row>
    <row r="33" spans="1:9" ht="31.5" customHeight="1">
      <c r="A33" s="893">
        <f t="shared" si="1"/>
        <v>16</v>
      </c>
      <c r="B33" s="882" t="s">
        <v>2770</v>
      </c>
      <c r="C33" s="881">
        <v>195000</v>
      </c>
      <c r="D33" s="884">
        <v>0</v>
      </c>
      <c r="E33" s="890">
        <f t="shared" si="0"/>
        <v>195000</v>
      </c>
      <c r="F33" s="891" t="s">
        <v>2822</v>
      </c>
      <c r="G33" s="892">
        <v>195000</v>
      </c>
      <c r="H33" s="870"/>
      <c r="I33" s="871"/>
    </row>
    <row r="34" spans="1:9" ht="31.5" customHeight="1">
      <c r="A34" s="893">
        <f t="shared" si="1"/>
        <v>17</v>
      </c>
      <c r="B34" s="882" t="s">
        <v>2771</v>
      </c>
      <c r="C34" s="901">
        <v>319595</v>
      </c>
      <c r="D34" s="884">
        <v>0</v>
      </c>
      <c r="E34" s="890">
        <f t="shared" si="0"/>
        <v>319595</v>
      </c>
      <c r="F34" s="891" t="s">
        <v>2823</v>
      </c>
      <c r="G34" s="892">
        <v>319595</v>
      </c>
      <c r="H34" s="870"/>
      <c r="I34" s="871"/>
    </row>
    <row r="35" spans="1:9" ht="31.5" customHeight="1">
      <c r="A35" s="893">
        <f t="shared" si="1"/>
        <v>18</v>
      </c>
      <c r="B35" s="882" t="s">
        <v>2772</v>
      </c>
      <c r="C35" s="881">
        <v>380920</v>
      </c>
      <c r="D35" s="884">
        <v>0</v>
      </c>
      <c r="E35" s="890">
        <f t="shared" si="0"/>
        <v>380920</v>
      </c>
      <c r="F35" s="891" t="s">
        <v>2824</v>
      </c>
      <c r="G35" s="892">
        <v>380920</v>
      </c>
      <c r="H35" s="870"/>
      <c r="I35" s="871"/>
    </row>
    <row r="36" spans="1:9" ht="31.5" customHeight="1">
      <c r="A36" s="893">
        <f t="shared" si="1"/>
        <v>19</v>
      </c>
      <c r="B36" s="882" t="s">
        <v>2773</v>
      </c>
      <c r="C36" s="881">
        <v>153043</v>
      </c>
      <c r="D36" s="884">
        <v>0</v>
      </c>
      <c r="E36" s="890">
        <f t="shared" si="0"/>
        <v>153043</v>
      </c>
      <c r="F36" s="891" t="s">
        <v>2825</v>
      </c>
      <c r="G36" s="892">
        <v>153043</v>
      </c>
      <c r="H36" s="870"/>
      <c r="I36" s="871"/>
    </row>
    <row r="37" spans="1:9" ht="31.5" customHeight="1">
      <c r="A37" s="893">
        <f t="shared" si="1"/>
        <v>20</v>
      </c>
      <c r="B37" s="882" t="s">
        <v>2774</v>
      </c>
      <c r="C37" s="881">
        <v>498412</v>
      </c>
      <c r="D37" s="884">
        <v>0</v>
      </c>
      <c r="E37" s="890">
        <f t="shared" si="0"/>
        <v>498412</v>
      </c>
      <c r="F37" s="891" t="s">
        <v>2826</v>
      </c>
      <c r="G37" s="892">
        <v>498412</v>
      </c>
      <c r="H37" s="870"/>
      <c r="I37" s="871"/>
    </row>
    <row r="38" spans="1:9" ht="31.5" customHeight="1">
      <c r="A38" s="893">
        <f t="shared" si="1"/>
        <v>21</v>
      </c>
      <c r="B38" s="882" t="s">
        <v>2775</v>
      </c>
      <c r="C38" s="881">
        <v>307337</v>
      </c>
      <c r="D38" s="884">
        <v>0</v>
      </c>
      <c r="E38" s="890">
        <f t="shared" si="0"/>
        <v>307337</v>
      </c>
      <c r="F38" s="891" t="s">
        <v>2827</v>
      </c>
      <c r="G38" s="892">
        <v>307337</v>
      </c>
      <c r="H38" s="870"/>
      <c r="I38" s="871"/>
    </row>
    <row r="39" spans="1:9" ht="31.5" customHeight="1">
      <c r="A39" s="893">
        <f t="shared" si="1"/>
        <v>22</v>
      </c>
      <c r="B39" s="882" t="s">
        <v>2776</v>
      </c>
      <c r="C39" s="881">
        <v>483383</v>
      </c>
      <c r="D39" s="884">
        <v>0</v>
      </c>
      <c r="E39" s="890">
        <f t="shared" si="0"/>
        <v>483383</v>
      </c>
      <c r="F39" s="891" t="s">
        <v>2828</v>
      </c>
      <c r="G39" s="892">
        <v>483383</v>
      </c>
      <c r="H39" s="870"/>
      <c r="I39" s="871"/>
    </row>
    <row r="40" spans="1:9" ht="31.5" customHeight="1">
      <c r="A40" s="893">
        <f t="shared" si="1"/>
        <v>23</v>
      </c>
      <c r="B40" s="882" t="s">
        <v>2777</v>
      </c>
      <c r="C40" s="881">
        <v>342432</v>
      </c>
      <c r="D40" s="884">
        <v>0</v>
      </c>
      <c r="E40" s="890">
        <f t="shared" si="0"/>
        <v>342432</v>
      </c>
      <c r="F40" s="891" t="s">
        <v>2829</v>
      </c>
      <c r="G40" s="892">
        <v>342432</v>
      </c>
      <c r="H40" s="870"/>
      <c r="I40" s="871"/>
    </row>
    <row r="41" spans="1:9" ht="31.5" customHeight="1">
      <c r="A41" s="893">
        <f t="shared" si="1"/>
        <v>24</v>
      </c>
      <c r="B41" s="882" t="s">
        <v>2778</v>
      </c>
      <c r="C41" s="881">
        <v>512967</v>
      </c>
      <c r="D41" s="884">
        <v>0</v>
      </c>
      <c r="E41" s="890">
        <f t="shared" si="0"/>
        <v>512967</v>
      </c>
      <c r="F41" s="891" t="s">
        <v>2830</v>
      </c>
      <c r="G41" s="892">
        <v>512967</v>
      </c>
      <c r="H41" s="870"/>
      <c r="I41" s="871"/>
    </row>
    <row r="42" spans="1:9" ht="31.5" customHeight="1">
      <c r="A42" s="893">
        <f t="shared" si="1"/>
        <v>25</v>
      </c>
      <c r="B42" s="882" t="s">
        <v>2779</v>
      </c>
      <c r="C42" s="881">
        <v>717861</v>
      </c>
      <c r="D42" s="884">
        <v>0</v>
      </c>
      <c r="E42" s="890">
        <f t="shared" si="0"/>
        <v>717861</v>
      </c>
      <c r="F42" s="891" t="s">
        <v>2831</v>
      </c>
      <c r="G42" s="892">
        <v>717861</v>
      </c>
      <c r="H42" s="870"/>
      <c r="I42" s="871"/>
    </row>
    <row r="43" spans="1:9" ht="31.5" customHeight="1">
      <c r="A43" s="893">
        <f t="shared" si="1"/>
        <v>26</v>
      </c>
      <c r="B43" s="882" t="s">
        <v>2780</v>
      </c>
      <c r="C43" s="881">
        <v>516057</v>
      </c>
      <c r="D43" s="884">
        <v>0</v>
      </c>
      <c r="E43" s="890">
        <f t="shared" si="0"/>
        <v>516057</v>
      </c>
      <c r="F43" s="891" t="s">
        <v>2832</v>
      </c>
      <c r="G43" s="892">
        <v>516057</v>
      </c>
      <c r="H43" s="870"/>
      <c r="I43" s="871"/>
    </row>
    <row r="44" spans="1:9" ht="31.5" customHeight="1">
      <c r="A44" s="893">
        <f t="shared" si="1"/>
        <v>27</v>
      </c>
      <c r="B44" s="882" t="s">
        <v>2781</v>
      </c>
      <c r="C44" s="883">
        <v>364183</v>
      </c>
      <c r="D44" s="884">
        <v>0</v>
      </c>
      <c r="E44" s="890">
        <f t="shared" si="0"/>
        <v>364183</v>
      </c>
      <c r="F44" s="891" t="s">
        <v>2833</v>
      </c>
      <c r="G44" s="892">
        <v>364183</v>
      </c>
      <c r="H44" s="870"/>
      <c r="I44" s="871"/>
    </row>
    <row r="45" spans="1:9" ht="31.5" customHeight="1">
      <c r="A45" s="893">
        <f t="shared" si="1"/>
        <v>28</v>
      </c>
      <c r="B45" s="882" t="s">
        <v>2782</v>
      </c>
      <c r="C45" s="883">
        <v>967195</v>
      </c>
      <c r="D45" s="884">
        <v>0</v>
      </c>
      <c r="E45" s="890">
        <f t="shared" si="0"/>
        <v>967195</v>
      </c>
      <c r="F45" s="891" t="s">
        <v>2834</v>
      </c>
      <c r="G45" s="892">
        <v>967195</v>
      </c>
      <c r="H45" s="870"/>
      <c r="I45" s="871"/>
    </row>
    <row r="46" spans="1:9" ht="31.5" customHeight="1">
      <c r="A46" s="893">
        <f t="shared" si="1"/>
        <v>29</v>
      </c>
      <c r="B46" s="882" t="s">
        <v>2783</v>
      </c>
      <c r="C46" s="883">
        <v>81369</v>
      </c>
      <c r="D46" s="884">
        <v>0</v>
      </c>
      <c r="E46" s="890">
        <f t="shared" si="0"/>
        <v>81369</v>
      </c>
      <c r="F46" s="891" t="s">
        <v>2835</v>
      </c>
      <c r="G46" s="892">
        <v>81369</v>
      </c>
      <c r="H46" s="870"/>
      <c r="I46" s="871"/>
    </row>
    <row r="47" spans="1:9" ht="31.5" customHeight="1">
      <c r="A47" s="893">
        <f t="shared" si="1"/>
        <v>30</v>
      </c>
      <c r="B47" s="882" t="s">
        <v>2784</v>
      </c>
      <c r="C47" s="883">
        <v>488234</v>
      </c>
      <c r="D47" s="884">
        <v>0</v>
      </c>
      <c r="E47" s="890">
        <f t="shared" si="0"/>
        <v>488234</v>
      </c>
      <c r="F47" s="891" t="s">
        <v>2836</v>
      </c>
      <c r="G47" s="892">
        <v>488234</v>
      </c>
      <c r="H47" s="870"/>
      <c r="I47" s="871"/>
    </row>
    <row r="48" spans="1:9" ht="31.5" customHeight="1">
      <c r="A48" s="893">
        <f t="shared" si="1"/>
        <v>31</v>
      </c>
      <c r="B48" s="882" t="s">
        <v>2785</v>
      </c>
      <c r="C48" s="883">
        <v>691295</v>
      </c>
      <c r="D48" s="884">
        <v>0</v>
      </c>
      <c r="E48" s="890">
        <f t="shared" si="0"/>
        <v>691295</v>
      </c>
      <c r="F48" s="902" t="s">
        <v>2837</v>
      </c>
      <c r="G48" s="892">
        <v>691295</v>
      </c>
      <c r="H48" s="870"/>
      <c r="I48" s="871"/>
    </row>
    <row r="49" spans="1:9" ht="31.5" customHeight="1">
      <c r="A49" s="893">
        <f t="shared" si="1"/>
        <v>32</v>
      </c>
      <c r="B49" s="882" t="s">
        <v>2786</v>
      </c>
      <c r="C49" s="883">
        <v>243003</v>
      </c>
      <c r="D49" s="884">
        <v>0</v>
      </c>
      <c r="E49" s="890">
        <f t="shared" si="0"/>
        <v>243003</v>
      </c>
      <c r="F49" s="902" t="s">
        <v>2838</v>
      </c>
      <c r="G49" s="892">
        <v>243003</v>
      </c>
      <c r="H49" s="870"/>
      <c r="I49" s="871"/>
    </row>
    <row r="50" spans="1:9" ht="31.5" customHeight="1">
      <c r="A50" s="893">
        <f t="shared" si="1"/>
        <v>33</v>
      </c>
      <c r="B50" s="882" t="s">
        <v>2787</v>
      </c>
      <c r="C50" s="883">
        <v>185543</v>
      </c>
      <c r="D50" s="884">
        <v>0</v>
      </c>
      <c r="E50" s="890">
        <f t="shared" si="0"/>
        <v>185543</v>
      </c>
      <c r="F50" s="902" t="s">
        <v>2839</v>
      </c>
      <c r="G50" s="892">
        <v>185543</v>
      </c>
      <c r="H50" s="870"/>
      <c r="I50" s="871"/>
    </row>
    <row r="51" spans="1:9" ht="31.5" customHeight="1">
      <c r="A51" s="893">
        <f t="shared" si="1"/>
        <v>34</v>
      </c>
      <c r="B51" s="882" t="s">
        <v>2788</v>
      </c>
      <c r="C51" s="883">
        <v>594855</v>
      </c>
      <c r="D51" s="884">
        <v>0</v>
      </c>
      <c r="E51" s="890">
        <f t="shared" si="0"/>
        <v>594855</v>
      </c>
      <c r="F51" s="902" t="s">
        <v>2840</v>
      </c>
      <c r="G51" s="892">
        <v>594855</v>
      </c>
      <c r="H51" s="870"/>
      <c r="I51" s="871"/>
    </row>
    <row r="52" spans="1:9" ht="31.5" customHeight="1">
      <c r="A52" s="893">
        <f t="shared" si="1"/>
        <v>35</v>
      </c>
      <c r="B52" s="882" t="s">
        <v>2789</v>
      </c>
      <c r="C52" s="883">
        <v>902245</v>
      </c>
      <c r="D52" s="884">
        <v>0</v>
      </c>
      <c r="E52" s="890">
        <f t="shared" si="0"/>
        <v>902245</v>
      </c>
      <c r="F52" s="891" t="s">
        <v>2841</v>
      </c>
      <c r="G52" s="892">
        <v>902245</v>
      </c>
      <c r="H52" s="870"/>
      <c r="I52" s="871"/>
    </row>
    <row r="53" spans="1:9" ht="31.5" customHeight="1">
      <c r="A53" s="893">
        <f t="shared" si="1"/>
        <v>36</v>
      </c>
      <c r="B53" s="882" t="s">
        <v>2790</v>
      </c>
      <c r="C53" s="883">
        <f>1105243-D53</f>
        <v>981174</v>
      </c>
      <c r="D53" s="903">
        <v>124069</v>
      </c>
      <c r="E53" s="890">
        <f t="shared" si="0"/>
        <v>1105243</v>
      </c>
      <c r="F53" s="902" t="s">
        <v>2842</v>
      </c>
      <c r="G53" s="892">
        <v>1105243</v>
      </c>
      <c r="H53" s="870"/>
      <c r="I53" s="871"/>
    </row>
    <row r="54" spans="1:9" ht="31.5" customHeight="1">
      <c r="A54" s="893">
        <f t="shared" si="1"/>
        <v>37</v>
      </c>
      <c r="B54" s="882" t="s">
        <v>2791</v>
      </c>
      <c r="C54" s="883">
        <v>340897</v>
      </c>
      <c r="D54" s="884">
        <v>0</v>
      </c>
      <c r="E54" s="890">
        <f t="shared" si="0"/>
        <v>340897</v>
      </c>
      <c r="F54" s="902" t="s">
        <v>2843</v>
      </c>
      <c r="G54" s="892">
        <v>340897</v>
      </c>
      <c r="H54" s="870"/>
      <c r="I54" s="871"/>
    </row>
    <row r="55" spans="1:9" ht="31.5" customHeight="1">
      <c r="A55" s="893">
        <f t="shared" si="1"/>
        <v>38</v>
      </c>
      <c r="B55" s="882" t="s">
        <v>2792</v>
      </c>
      <c r="C55" s="883">
        <v>28375</v>
      </c>
      <c r="D55" s="884">
        <v>0</v>
      </c>
      <c r="E55" s="890">
        <f t="shared" si="0"/>
        <v>28375</v>
      </c>
      <c r="F55" s="902" t="s">
        <v>2844</v>
      </c>
      <c r="G55" s="892">
        <v>28375</v>
      </c>
      <c r="H55" s="870"/>
      <c r="I55" s="871"/>
    </row>
    <row r="56" spans="1:9" ht="31.5" customHeight="1">
      <c r="A56" s="893">
        <f t="shared" si="1"/>
        <v>39</v>
      </c>
      <c r="B56" s="904" t="s">
        <v>2793</v>
      </c>
      <c r="C56" s="883">
        <v>308828</v>
      </c>
      <c r="D56" s="884">
        <v>0</v>
      </c>
      <c r="E56" s="890">
        <f t="shared" si="0"/>
        <v>308828</v>
      </c>
      <c r="F56" s="902" t="s">
        <v>2845</v>
      </c>
      <c r="G56" s="892">
        <v>308828</v>
      </c>
      <c r="H56" s="870"/>
      <c r="I56" s="871"/>
    </row>
    <row r="57" spans="1:9" ht="31.5" customHeight="1">
      <c r="A57" s="893">
        <f t="shared" si="1"/>
        <v>40</v>
      </c>
      <c r="B57" s="882" t="s">
        <v>2794</v>
      </c>
      <c r="C57" s="883">
        <v>96934</v>
      </c>
      <c r="D57" s="884">
        <v>0</v>
      </c>
      <c r="E57" s="890">
        <f t="shared" si="0"/>
        <v>96934</v>
      </c>
      <c r="F57" s="902" t="s">
        <v>2846</v>
      </c>
      <c r="G57" s="892">
        <v>96934</v>
      </c>
      <c r="H57" s="870"/>
      <c r="I57" s="871"/>
    </row>
    <row r="58" spans="1:9" ht="31.5" customHeight="1">
      <c r="A58" s="893">
        <f t="shared" si="1"/>
        <v>41</v>
      </c>
      <c r="B58" s="882" t="s">
        <v>2795</v>
      </c>
      <c r="C58" s="883">
        <v>400158</v>
      </c>
      <c r="D58" s="884">
        <v>0</v>
      </c>
      <c r="E58" s="890">
        <f t="shared" si="0"/>
        <v>400158</v>
      </c>
      <c r="F58" s="902" t="s">
        <v>2847</v>
      </c>
      <c r="G58" s="892">
        <v>400158</v>
      </c>
      <c r="H58" s="870"/>
      <c r="I58" s="871"/>
    </row>
    <row r="59" spans="1:9" ht="31.5" customHeight="1">
      <c r="A59" s="893">
        <f t="shared" si="1"/>
        <v>42</v>
      </c>
      <c r="B59" s="882" t="s">
        <v>2796</v>
      </c>
      <c r="C59" s="883">
        <v>103049</v>
      </c>
      <c r="D59" s="884">
        <v>0</v>
      </c>
      <c r="E59" s="890">
        <f t="shared" si="0"/>
        <v>103049</v>
      </c>
      <c r="F59" s="891" t="s">
        <v>2848</v>
      </c>
      <c r="G59" s="892">
        <v>103049</v>
      </c>
      <c r="H59" s="870"/>
      <c r="I59" s="871"/>
    </row>
    <row r="60" spans="1:9" ht="31.5" customHeight="1">
      <c r="A60" s="893">
        <f t="shared" si="1"/>
        <v>43</v>
      </c>
      <c r="B60" s="882" t="s">
        <v>2797</v>
      </c>
      <c r="C60" s="883">
        <v>1337198</v>
      </c>
      <c r="D60" s="884">
        <v>0</v>
      </c>
      <c r="E60" s="890">
        <f t="shared" si="0"/>
        <v>1337198</v>
      </c>
      <c r="F60" s="902" t="s">
        <v>2849</v>
      </c>
      <c r="G60" s="892">
        <v>1337198</v>
      </c>
      <c r="H60" s="870"/>
      <c r="I60" s="871"/>
    </row>
    <row r="61" spans="1:9" ht="31.5" customHeight="1">
      <c r="A61" s="894">
        <f t="shared" si="1"/>
        <v>44</v>
      </c>
      <c r="B61" s="895" t="s">
        <v>2798</v>
      </c>
      <c r="C61" s="905">
        <v>786023</v>
      </c>
      <c r="D61" s="906">
        <v>15720</v>
      </c>
      <c r="E61" s="898">
        <f t="shared" si="0"/>
        <v>801743</v>
      </c>
      <c r="F61" s="899" t="s">
        <v>2850</v>
      </c>
      <c r="G61" s="900">
        <v>801743</v>
      </c>
      <c r="H61" s="870"/>
      <c r="I61" s="871"/>
    </row>
    <row r="62" spans="1:9" ht="31.5" customHeight="1">
      <c r="A62" s="893">
        <f t="shared" si="1"/>
        <v>45</v>
      </c>
      <c r="B62" s="882" t="s">
        <v>2799</v>
      </c>
      <c r="C62" s="901">
        <v>196032</v>
      </c>
      <c r="D62" s="884">
        <v>0</v>
      </c>
      <c r="E62" s="890">
        <f t="shared" si="0"/>
        <v>196032</v>
      </c>
      <c r="F62" s="891" t="s">
        <v>2851</v>
      </c>
      <c r="G62" s="892">
        <v>196032</v>
      </c>
      <c r="H62" s="870"/>
      <c r="I62" s="871"/>
    </row>
    <row r="63" spans="1:9" ht="31.5" customHeight="1">
      <c r="A63" s="893">
        <f t="shared" si="1"/>
        <v>46</v>
      </c>
      <c r="B63" s="882" t="s">
        <v>2800</v>
      </c>
      <c r="C63" s="901">
        <v>27351</v>
      </c>
      <c r="D63" s="884">
        <v>0</v>
      </c>
      <c r="E63" s="890">
        <f t="shared" si="0"/>
        <v>27351</v>
      </c>
      <c r="F63" s="902" t="s">
        <v>2852</v>
      </c>
      <c r="G63" s="892">
        <v>27351</v>
      </c>
      <c r="H63" s="870"/>
      <c r="I63" s="871"/>
    </row>
    <row r="64" spans="1:9" ht="31.5" customHeight="1">
      <c r="A64" s="893">
        <f t="shared" si="1"/>
        <v>47</v>
      </c>
      <c r="B64" s="882" t="s">
        <v>2801</v>
      </c>
      <c r="C64" s="881">
        <v>267064</v>
      </c>
      <c r="D64" s="884">
        <v>0</v>
      </c>
      <c r="E64" s="890">
        <f t="shared" si="0"/>
        <v>267064</v>
      </c>
      <c r="F64" s="902" t="s">
        <v>2853</v>
      </c>
      <c r="G64" s="892">
        <v>267064</v>
      </c>
      <c r="H64" s="870"/>
      <c r="I64" s="871"/>
    </row>
    <row r="65" spans="1:12" ht="31.5" customHeight="1">
      <c r="A65" s="893">
        <f t="shared" si="1"/>
        <v>48</v>
      </c>
      <c r="B65" s="907" t="s">
        <v>2802</v>
      </c>
      <c r="C65" s="881">
        <v>147443</v>
      </c>
      <c r="D65" s="884">
        <v>0</v>
      </c>
      <c r="E65" s="890">
        <f t="shared" si="0"/>
        <v>147443</v>
      </c>
      <c r="F65" s="902" t="s">
        <v>2854</v>
      </c>
      <c r="G65" s="892">
        <v>147443</v>
      </c>
      <c r="H65" s="870"/>
      <c r="I65" s="871"/>
    </row>
    <row r="66" spans="1:12" ht="31.5" customHeight="1">
      <c r="A66" s="893">
        <f t="shared" si="1"/>
        <v>49</v>
      </c>
      <c r="B66" s="882" t="s">
        <v>2803</v>
      </c>
      <c r="C66" s="881">
        <v>500007</v>
      </c>
      <c r="D66" s="884">
        <v>0</v>
      </c>
      <c r="E66" s="890">
        <f t="shared" si="0"/>
        <v>500007</v>
      </c>
      <c r="F66" s="902" t="s">
        <v>2855</v>
      </c>
      <c r="G66" s="892">
        <v>500007</v>
      </c>
      <c r="H66" s="870"/>
      <c r="I66" s="871"/>
    </row>
    <row r="67" spans="1:12" ht="31.5" customHeight="1">
      <c r="A67" s="893">
        <f t="shared" si="1"/>
        <v>50</v>
      </c>
      <c r="B67" s="882" t="s">
        <v>2804</v>
      </c>
      <c r="C67" s="881">
        <v>218680</v>
      </c>
      <c r="D67" s="884">
        <v>0</v>
      </c>
      <c r="E67" s="890">
        <f t="shared" si="0"/>
        <v>218680</v>
      </c>
      <c r="F67" s="902" t="s">
        <v>2856</v>
      </c>
      <c r="G67" s="892">
        <v>218680</v>
      </c>
      <c r="H67" s="870"/>
      <c r="I67" s="871"/>
    </row>
    <row r="68" spans="1:12" ht="31.5" customHeight="1">
      <c r="A68" s="893">
        <f t="shared" si="1"/>
        <v>51</v>
      </c>
      <c r="B68" s="882" t="s">
        <v>2805</v>
      </c>
      <c r="C68" s="881">
        <v>184082</v>
      </c>
      <c r="D68" s="884">
        <v>0</v>
      </c>
      <c r="E68" s="890">
        <f t="shared" si="0"/>
        <v>184082</v>
      </c>
      <c r="F68" s="902" t="s">
        <v>2857</v>
      </c>
      <c r="G68" s="892">
        <v>184082</v>
      </c>
      <c r="H68" s="870"/>
      <c r="I68" s="871"/>
    </row>
    <row r="69" spans="1:12" ht="31.5" customHeight="1">
      <c r="A69" s="893">
        <f t="shared" si="1"/>
        <v>52</v>
      </c>
      <c r="B69" s="882" t="s">
        <v>2806</v>
      </c>
      <c r="C69" s="881">
        <v>94485</v>
      </c>
      <c r="D69" s="884">
        <v>0</v>
      </c>
      <c r="E69" s="890">
        <f t="shared" si="0"/>
        <v>94485</v>
      </c>
      <c r="F69" s="902" t="s">
        <v>2858</v>
      </c>
      <c r="G69" s="892">
        <v>94485</v>
      </c>
      <c r="H69" s="870"/>
      <c r="I69" s="871"/>
    </row>
    <row r="70" spans="1:12" ht="31.5" customHeight="1">
      <c r="A70" s="893">
        <f t="shared" si="1"/>
        <v>53</v>
      </c>
      <c r="B70" s="882" t="s">
        <v>2807</v>
      </c>
      <c r="C70" s="881">
        <v>176274</v>
      </c>
      <c r="D70" s="884">
        <v>0</v>
      </c>
      <c r="E70" s="890">
        <f t="shared" si="0"/>
        <v>176274</v>
      </c>
      <c r="F70" s="902" t="s">
        <v>2859</v>
      </c>
      <c r="G70" s="892">
        <v>176274</v>
      </c>
      <c r="H70" s="870"/>
      <c r="I70" s="871"/>
    </row>
    <row r="71" spans="1:12" ht="31.5" customHeight="1">
      <c r="A71" s="893">
        <f t="shared" si="1"/>
        <v>54</v>
      </c>
      <c r="B71" s="882" t="s">
        <v>2808</v>
      </c>
      <c r="C71" s="881">
        <v>287940</v>
      </c>
      <c r="D71" s="884">
        <v>0</v>
      </c>
      <c r="E71" s="890">
        <f t="shared" si="0"/>
        <v>287940</v>
      </c>
      <c r="F71" s="902" t="s">
        <v>2860</v>
      </c>
      <c r="G71" s="892">
        <v>287940</v>
      </c>
      <c r="H71" s="870"/>
      <c r="I71" s="871"/>
    </row>
    <row r="72" spans="1:12" ht="31.5" customHeight="1" thickBot="1">
      <c r="A72" s="893">
        <f t="shared" si="1"/>
        <v>55</v>
      </c>
      <c r="B72" s="882" t="s">
        <v>2809</v>
      </c>
      <c r="C72" s="881">
        <v>52351</v>
      </c>
      <c r="D72" s="884">
        <v>0</v>
      </c>
      <c r="E72" s="890">
        <f t="shared" si="0"/>
        <v>52351</v>
      </c>
      <c r="F72" s="902" t="s">
        <v>2861</v>
      </c>
      <c r="G72" s="892">
        <v>52351</v>
      </c>
      <c r="H72" s="870"/>
      <c r="I72" s="871"/>
    </row>
    <row r="73" spans="1:12" s="769" customFormat="1" ht="31.5" customHeight="1" thickBot="1">
      <c r="A73" s="908"/>
      <c r="B73" s="909" t="s">
        <v>58</v>
      </c>
      <c r="C73" s="910">
        <f>SUM(C18:C72)</f>
        <v>20200046</v>
      </c>
      <c r="D73" s="911">
        <f>SUM(D18:D72)</f>
        <v>139789</v>
      </c>
      <c r="E73" s="910">
        <f>C73+D73</f>
        <v>20339835</v>
      </c>
      <c r="F73" s="911">
        <f>SUM(F18:F72)</f>
        <v>0</v>
      </c>
      <c r="G73" s="912">
        <f>SUM(G18:G72)</f>
        <v>20339835</v>
      </c>
    </row>
    <row r="75" spans="1:12" ht="16.5" thickBot="1">
      <c r="A75" s="1618" t="s">
        <v>2719</v>
      </c>
      <c r="B75" s="1618"/>
      <c r="H75" s="768"/>
      <c r="I75" s="768"/>
      <c r="J75" s="768"/>
      <c r="K75" s="768"/>
      <c r="L75" s="768"/>
    </row>
    <row r="76" spans="1:12" ht="30.75" customHeight="1" thickBot="1">
      <c r="A76" s="815">
        <v>1</v>
      </c>
      <c r="B76" s="1619" t="s">
        <v>2718</v>
      </c>
      <c r="C76" s="1619"/>
      <c r="D76" s="1619"/>
      <c r="E76" s="1619"/>
      <c r="F76" s="1619"/>
      <c r="G76" s="1620"/>
      <c r="H76" s="789"/>
      <c r="I76" s="789"/>
      <c r="J76" s="789"/>
      <c r="K76" s="789"/>
      <c r="L76" s="768"/>
    </row>
    <row r="77" spans="1:12">
      <c r="H77" s="768"/>
      <c r="I77" s="768"/>
      <c r="J77" s="768"/>
      <c r="K77" s="768"/>
      <c r="L77" s="768"/>
    </row>
  </sheetData>
  <mergeCells count="20">
    <mergeCell ref="F11:G11"/>
    <mergeCell ref="A75:B75"/>
    <mergeCell ref="B76:G76"/>
    <mergeCell ref="A15:G15"/>
    <mergeCell ref="F12:G12"/>
    <mergeCell ref="F13:G13"/>
    <mergeCell ref="A11:D11"/>
    <mergeCell ref="A12:D12"/>
    <mergeCell ref="A13:D13"/>
    <mergeCell ref="F8:G8"/>
    <mergeCell ref="F9:G9"/>
    <mergeCell ref="A6:D6"/>
    <mergeCell ref="A7:D7"/>
    <mergeCell ref="A8:D8"/>
    <mergeCell ref="A9:D9"/>
    <mergeCell ref="A2:G2"/>
    <mergeCell ref="A3:G3"/>
    <mergeCell ref="A4:G4"/>
    <mergeCell ref="F6:G6"/>
    <mergeCell ref="F7:G7"/>
  </mergeCells>
  <pageMargins left="0.70866141732283505" right="0.15748031496063" top="0.74803149606299202" bottom="0.74803149606299202" header="0.31496062992126" footer="0.31496062992126"/>
  <pageSetup paperSize="5" scale="85" orientation="landscape" copies="3" r:id="rId1"/>
</worksheet>
</file>

<file path=xl/worksheets/sheet27.xml><?xml version="1.0" encoding="utf-8"?>
<worksheet xmlns="http://schemas.openxmlformats.org/spreadsheetml/2006/main" xmlns:r="http://schemas.openxmlformats.org/officeDocument/2006/relationships">
  <sheetPr filterMode="1">
    <tabColor rgb="FFFFFF00"/>
  </sheetPr>
  <dimension ref="A1:M243"/>
  <sheetViews>
    <sheetView workbookViewId="0">
      <pane ySplit="4" topLeftCell="A109" activePane="bottomLeft" state="frozen"/>
      <selection pane="bottomLeft" activeCell="D113" sqref="D113"/>
    </sheetView>
  </sheetViews>
  <sheetFormatPr defaultColWidth="9.140625" defaultRowHeight="15"/>
  <cols>
    <col min="1" max="1" width="4.140625" style="392" customWidth="1"/>
    <col min="2" max="2" width="28.42578125" style="391" customWidth="1"/>
    <col min="3" max="3" width="13" style="478" customWidth="1"/>
    <col min="4" max="4" width="11.42578125" style="393" customWidth="1"/>
    <col min="5" max="5" width="11.42578125" style="394" customWidth="1"/>
    <col min="6" max="6" width="18.140625" style="394" customWidth="1"/>
    <col min="7" max="7" width="12.5703125" style="394" customWidth="1"/>
    <col min="8" max="8" width="19.42578125" style="143" customWidth="1"/>
    <col min="9" max="9" width="19.42578125" style="388" customWidth="1"/>
    <col min="10" max="10" width="24.28515625" style="390" customWidth="1"/>
    <col min="11" max="11" width="15.7109375" style="388" customWidth="1"/>
    <col min="12" max="12" width="13.28515625" style="394" bestFit="1" customWidth="1"/>
    <col min="13" max="13" width="9.140625" style="394" customWidth="1"/>
    <col min="14" max="16384" width="9.140625" style="394"/>
  </cols>
  <sheetData>
    <row r="1" spans="1:12">
      <c r="C1" s="394"/>
      <c r="D1" s="394" t="s">
        <v>1652</v>
      </c>
      <c r="L1" s="389"/>
    </row>
    <row r="2" spans="1:12" ht="23.25">
      <c r="A2" s="387"/>
      <c r="B2" s="1628" t="s">
        <v>401</v>
      </c>
      <c r="C2" s="1628"/>
      <c r="D2" s="1628"/>
      <c r="E2" s="1628"/>
      <c r="F2" s="1628"/>
      <c r="G2" s="1628"/>
      <c r="H2" s="1628"/>
      <c r="I2" s="1628"/>
      <c r="J2" s="385">
        <f ca="1">TODAY()</f>
        <v>43956</v>
      </c>
      <c r="K2" s="386"/>
      <c r="L2" s="395"/>
    </row>
    <row r="3" spans="1:12">
      <c r="A3" s="396"/>
      <c r="B3" s="397"/>
      <c r="C3" s="395"/>
      <c r="D3" s="398"/>
      <c r="E3" s="395"/>
      <c r="F3" s="395"/>
      <c r="G3" s="395"/>
      <c r="H3" s="399"/>
      <c r="I3" s="400"/>
      <c r="J3" s="401"/>
      <c r="K3" s="400"/>
      <c r="L3" s="402"/>
    </row>
    <row r="4" spans="1:12" ht="30">
      <c r="A4" s="403" t="s">
        <v>402</v>
      </c>
      <c r="B4" s="404" t="s">
        <v>403</v>
      </c>
      <c r="C4" s="404" t="s">
        <v>404</v>
      </c>
      <c r="D4" s="405" t="s">
        <v>405</v>
      </c>
      <c r="E4" s="404" t="s">
        <v>406</v>
      </c>
      <c r="F4" s="404" t="s">
        <v>407</v>
      </c>
      <c r="G4" s="404" t="s">
        <v>408</v>
      </c>
      <c r="H4" s="404" t="s">
        <v>409</v>
      </c>
      <c r="I4" s="404" t="s">
        <v>410</v>
      </c>
      <c r="J4" s="404" t="s">
        <v>411</v>
      </c>
      <c r="K4" s="404" t="s">
        <v>412</v>
      </c>
      <c r="L4" s="404" t="s">
        <v>413</v>
      </c>
    </row>
    <row r="5" spans="1:12" ht="68.25" hidden="1" customHeight="1">
      <c r="A5" s="406">
        <v>1</v>
      </c>
      <c r="B5" s="407" t="s">
        <v>414</v>
      </c>
      <c r="C5" s="408" t="s">
        <v>415</v>
      </c>
      <c r="D5" s="409" t="s">
        <v>416</v>
      </c>
      <c r="E5" s="408" t="s">
        <v>417</v>
      </c>
      <c r="F5" s="410" t="s">
        <v>418</v>
      </c>
      <c r="G5" s="408" t="s">
        <v>419</v>
      </c>
      <c r="H5" s="411" t="s">
        <v>420</v>
      </c>
      <c r="I5" s="412" t="s">
        <v>421</v>
      </c>
      <c r="J5" s="406" t="s">
        <v>422</v>
      </c>
      <c r="K5" s="407" t="s">
        <v>423</v>
      </c>
      <c r="L5" s="407" t="s">
        <v>424</v>
      </c>
    </row>
    <row r="6" spans="1:12" ht="60" hidden="1">
      <c r="A6" s="406">
        <v>2</v>
      </c>
      <c r="B6" s="407" t="s">
        <v>425</v>
      </c>
      <c r="C6" s="413" t="s">
        <v>426</v>
      </c>
      <c r="D6" s="414" t="s">
        <v>427</v>
      </c>
      <c r="E6" s="413" t="s">
        <v>428</v>
      </c>
      <c r="F6" s="410" t="s">
        <v>429</v>
      </c>
      <c r="G6" s="415" t="s">
        <v>430</v>
      </c>
      <c r="H6" s="407" t="s">
        <v>431</v>
      </c>
      <c r="I6" s="411"/>
      <c r="J6" s="406" t="s">
        <v>432</v>
      </c>
      <c r="K6" s="407" t="s">
        <v>433</v>
      </c>
      <c r="L6" s="407" t="s">
        <v>424</v>
      </c>
    </row>
    <row r="7" spans="1:12" ht="60">
      <c r="A7" s="406">
        <v>3</v>
      </c>
      <c r="B7" s="407" t="s">
        <v>434</v>
      </c>
      <c r="C7" s="410" t="s">
        <v>435</v>
      </c>
      <c r="D7" s="416" t="s">
        <v>436</v>
      </c>
      <c r="E7" s="410" t="s">
        <v>437</v>
      </c>
      <c r="F7" s="410" t="s">
        <v>438</v>
      </c>
      <c r="G7" s="415" t="s">
        <v>439</v>
      </c>
      <c r="H7" s="417" t="s">
        <v>440</v>
      </c>
      <c r="I7" s="411"/>
      <c r="J7" s="411" t="s">
        <v>441</v>
      </c>
      <c r="K7" s="407" t="s">
        <v>442</v>
      </c>
      <c r="L7" s="407" t="s">
        <v>424</v>
      </c>
    </row>
    <row r="8" spans="1:12" ht="60" hidden="1">
      <c r="A8" s="406">
        <v>4</v>
      </c>
      <c r="B8" s="406" t="s">
        <v>443</v>
      </c>
      <c r="C8" s="415" t="s">
        <v>444</v>
      </c>
      <c r="D8" s="414" t="s">
        <v>445</v>
      </c>
      <c r="E8" s="415" t="s">
        <v>446</v>
      </c>
      <c r="F8" s="410" t="s">
        <v>447</v>
      </c>
      <c r="G8" s="408" t="s">
        <v>419</v>
      </c>
      <c r="H8" s="406" t="s">
        <v>448</v>
      </c>
      <c r="I8" s="362" t="s">
        <v>449</v>
      </c>
      <c r="J8" s="406" t="s">
        <v>432</v>
      </c>
      <c r="K8" s="407" t="s">
        <v>450</v>
      </c>
      <c r="L8" s="407" t="s">
        <v>424</v>
      </c>
    </row>
    <row r="9" spans="1:12" ht="60" hidden="1">
      <c r="A9" s="406">
        <v>5</v>
      </c>
      <c r="B9" s="407" t="s">
        <v>451</v>
      </c>
      <c r="C9" s="415" t="s">
        <v>452</v>
      </c>
      <c r="D9" s="409" t="s">
        <v>453</v>
      </c>
      <c r="E9" s="410" t="s">
        <v>454</v>
      </c>
      <c r="F9" s="410" t="s">
        <v>455</v>
      </c>
      <c r="G9" s="408" t="s">
        <v>419</v>
      </c>
      <c r="H9" s="417" t="s">
        <v>456</v>
      </c>
      <c r="I9" s="411"/>
      <c r="J9" s="406" t="s">
        <v>457</v>
      </c>
      <c r="K9" s="407" t="s">
        <v>423</v>
      </c>
      <c r="L9" s="407" t="s">
        <v>424</v>
      </c>
    </row>
    <row r="10" spans="1:12" ht="60" hidden="1">
      <c r="A10" s="406">
        <v>6</v>
      </c>
      <c r="B10" s="406" t="s">
        <v>458</v>
      </c>
      <c r="C10" s="418" t="s">
        <v>459</v>
      </c>
      <c r="D10" s="419" t="s">
        <v>460</v>
      </c>
      <c r="E10" s="420" t="s">
        <v>461</v>
      </c>
      <c r="F10" s="421" t="s">
        <v>462</v>
      </c>
      <c r="G10" s="362" t="s">
        <v>419</v>
      </c>
      <c r="H10" s="422" t="s">
        <v>463</v>
      </c>
      <c r="I10" s="362" t="s">
        <v>449</v>
      </c>
      <c r="J10" s="406" t="s">
        <v>432</v>
      </c>
      <c r="K10" s="407" t="s">
        <v>423</v>
      </c>
      <c r="L10" s="407" t="s">
        <v>424</v>
      </c>
    </row>
    <row r="11" spans="1:12" ht="60" hidden="1">
      <c r="A11" s="406">
        <v>7</v>
      </c>
      <c r="B11" s="423" t="s">
        <v>464</v>
      </c>
      <c r="C11" s="415" t="s">
        <v>465</v>
      </c>
      <c r="D11" s="414" t="s">
        <v>466</v>
      </c>
      <c r="E11" s="415" t="s">
        <v>467</v>
      </c>
      <c r="F11" s="408" t="s">
        <v>468</v>
      </c>
      <c r="G11" s="408" t="s">
        <v>419</v>
      </c>
      <c r="H11" s="423" t="s">
        <v>469</v>
      </c>
      <c r="I11" s="411"/>
      <c r="J11" s="406" t="s">
        <v>470</v>
      </c>
      <c r="K11" s="407" t="s">
        <v>471</v>
      </c>
      <c r="L11" s="407" t="s">
        <v>472</v>
      </c>
    </row>
    <row r="12" spans="1:12" ht="75" hidden="1">
      <c r="A12" s="406">
        <v>8</v>
      </c>
      <c r="B12" s="406" t="s">
        <v>473</v>
      </c>
      <c r="C12" s="413" t="s">
        <v>474</v>
      </c>
      <c r="D12" s="414" t="s">
        <v>475</v>
      </c>
      <c r="E12" s="413" t="s">
        <v>476</v>
      </c>
      <c r="F12" s="410" t="s">
        <v>477</v>
      </c>
      <c r="G12" s="408" t="s">
        <v>419</v>
      </c>
      <c r="H12" s="424" t="s">
        <v>478</v>
      </c>
      <c r="I12" s="362" t="s">
        <v>449</v>
      </c>
      <c r="J12" s="406" t="s">
        <v>479</v>
      </c>
      <c r="K12" s="407" t="s">
        <v>480</v>
      </c>
      <c r="L12" s="407" t="s">
        <v>424</v>
      </c>
    </row>
    <row r="13" spans="1:12" ht="60" hidden="1">
      <c r="A13" s="406">
        <v>9</v>
      </c>
      <c r="B13" s="406" t="s">
        <v>481</v>
      </c>
      <c r="C13" s="425" t="s">
        <v>482</v>
      </c>
      <c r="D13" s="409" t="s">
        <v>416</v>
      </c>
      <c r="E13" s="410" t="s">
        <v>483</v>
      </c>
      <c r="F13" s="410" t="s">
        <v>484</v>
      </c>
      <c r="G13" s="408" t="s">
        <v>419</v>
      </c>
      <c r="H13" s="426" t="s">
        <v>485</v>
      </c>
      <c r="I13" s="411" t="s">
        <v>486</v>
      </c>
      <c r="J13" s="406" t="s">
        <v>487</v>
      </c>
      <c r="K13" s="407" t="s">
        <v>423</v>
      </c>
      <c r="L13" s="407" t="s">
        <v>424</v>
      </c>
    </row>
    <row r="14" spans="1:12" ht="60" hidden="1">
      <c r="A14" s="406">
        <v>10</v>
      </c>
      <c r="B14" s="406" t="s">
        <v>488</v>
      </c>
      <c r="C14" s="413" t="s">
        <v>489</v>
      </c>
      <c r="D14" s="414" t="s">
        <v>490</v>
      </c>
      <c r="E14" s="413" t="s">
        <v>491</v>
      </c>
      <c r="F14" s="410" t="s">
        <v>492</v>
      </c>
      <c r="G14" s="408" t="s">
        <v>419</v>
      </c>
      <c r="H14" s="427">
        <v>85184.94</v>
      </c>
      <c r="I14" s="362" t="s">
        <v>449</v>
      </c>
      <c r="J14" s="406" t="s">
        <v>493</v>
      </c>
      <c r="K14" s="407" t="s">
        <v>450</v>
      </c>
      <c r="L14" s="407" t="s">
        <v>424</v>
      </c>
    </row>
    <row r="15" spans="1:12" ht="60">
      <c r="A15" s="406">
        <v>11</v>
      </c>
      <c r="B15" s="411" t="s">
        <v>494</v>
      </c>
      <c r="C15" s="413" t="s">
        <v>495</v>
      </c>
      <c r="D15" s="414" t="s">
        <v>496</v>
      </c>
      <c r="E15" s="413" t="s">
        <v>497</v>
      </c>
      <c r="F15" s="410" t="s">
        <v>498</v>
      </c>
      <c r="G15" s="415" t="s">
        <v>499</v>
      </c>
      <c r="H15" s="417" t="s">
        <v>500</v>
      </c>
      <c r="I15" s="362" t="s">
        <v>449</v>
      </c>
      <c r="J15" s="406" t="s">
        <v>457</v>
      </c>
      <c r="K15" s="407" t="s">
        <v>501</v>
      </c>
      <c r="L15" s="407" t="s">
        <v>424</v>
      </c>
    </row>
    <row r="16" spans="1:12" ht="75">
      <c r="A16" s="406">
        <v>12</v>
      </c>
      <c r="B16" s="423" t="s">
        <v>502</v>
      </c>
      <c r="C16" s="418" t="s">
        <v>503</v>
      </c>
      <c r="D16" s="419" t="s">
        <v>504</v>
      </c>
      <c r="E16" s="378" t="s">
        <v>505</v>
      </c>
      <c r="F16" s="362" t="s">
        <v>506</v>
      </c>
      <c r="G16" s="362" t="s">
        <v>430</v>
      </c>
      <c r="H16" s="428" t="s">
        <v>507</v>
      </c>
      <c r="I16" s="411" t="s">
        <v>508</v>
      </c>
      <c r="J16" s="406" t="s">
        <v>509</v>
      </c>
      <c r="K16" s="406" t="s">
        <v>510</v>
      </c>
      <c r="L16" s="406" t="s">
        <v>511</v>
      </c>
    </row>
    <row r="17" spans="1:12" ht="60" hidden="1">
      <c r="A17" s="406">
        <v>13</v>
      </c>
      <c r="B17" s="407" t="s">
        <v>512</v>
      </c>
      <c r="C17" s="415" t="s">
        <v>495</v>
      </c>
      <c r="D17" s="414" t="s">
        <v>460</v>
      </c>
      <c r="E17" s="413" t="s">
        <v>513</v>
      </c>
      <c r="F17" s="410" t="s">
        <v>514</v>
      </c>
      <c r="G17" s="408" t="s">
        <v>419</v>
      </c>
      <c r="H17" s="423" t="s">
        <v>515</v>
      </c>
      <c r="I17" s="411"/>
      <c r="J17" s="406" t="s">
        <v>516</v>
      </c>
      <c r="K17" s="407" t="s">
        <v>433</v>
      </c>
      <c r="L17" s="407" t="s">
        <v>424</v>
      </c>
    </row>
    <row r="18" spans="1:12" ht="75" hidden="1">
      <c r="A18" s="406">
        <v>14</v>
      </c>
      <c r="B18" s="429" t="s">
        <v>517</v>
      </c>
      <c r="C18" s="418" t="s">
        <v>518</v>
      </c>
      <c r="D18" s="419" t="s">
        <v>519</v>
      </c>
      <c r="E18" s="378" t="s">
        <v>520</v>
      </c>
      <c r="F18" s="362" t="s">
        <v>521</v>
      </c>
      <c r="G18" s="362" t="s">
        <v>419</v>
      </c>
      <c r="H18" s="430">
        <v>43122</v>
      </c>
      <c r="I18" s="362" t="s">
        <v>522</v>
      </c>
      <c r="J18" s="407" t="s">
        <v>523</v>
      </c>
      <c r="K18" s="417"/>
      <c r="L18" s="431" t="s">
        <v>511</v>
      </c>
    </row>
    <row r="19" spans="1:12" ht="60" hidden="1">
      <c r="A19" s="406">
        <v>15</v>
      </c>
      <c r="B19" s="407" t="s">
        <v>524</v>
      </c>
      <c r="C19" s="415" t="s">
        <v>495</v>
      </c>
      <c r="D19" s="414" t="s">
        <v>490</v>
      </c>
      <c r="E19" s="413" t="s">
        <v>525</v>
      </c>
      <c r="F19" s="410" t="s">
        <v>526</v>
      </c>
      <c r="G19" s="408" t="s">
        <v>419</v>
      </c>
      <c r="H19" s="407" t="s">
        <v>527</v>
      </c>
      <c r="I19" s="411"/>
      <c r="J19" s="406" t="s">
        <v>516</v>
      </c>
      <c r="K19" s="407" t="s">
        <v>501</v>
      </c>
      <c r="L19" s="407" t="s">
        <v>424</v>
      </c>
    </row>
    <row r="20" spans="1:12" ht="60">
      <c r="A20" s="406">
        <v>16</v>
      </c>
      <c r="B20" s="429" t="s">
        <v>528</v>
      </c>
      <c r="C20" s="418" t="s">
        <v>518</v>
      </c>
      <c r="D20" s="419" t="s">
        <v>529</v>
      </c>
      <c r="E20" s="378" t="s">
        <v>530</v>
      </c>
      <c r="F20" s="362" t="s">
        <v>531</v>
      </c>
      <c r="G20" s="362" t="s">
        <v>430</v>
      </c>
      <c r="H20" s="362" t="s">
        <v>532</v>
      </c>
      <c r="I20" s="362" t="s">
        <v>522</v>
      </c>
      <c r="J20" s="407" t="s">
        <v>523</v>
      </c>
      <c r="K20" s="417"/>
      <c r="L20" s="431" t="s">
        <v>511</v>
      </c>
    </row>
    <row r="21" spans="1:12" ht="60" hidden="1">
      <c r="A21" s="406">
        <v>17</v>
      </c>
      <c r="B21" s="406" t="s">
        <v>533</v>
      </c>
      <c r="C21" s="413" t="s">
        <v>495</v>
      </c>
      <c r="D21" s="414" t="s">
        <v>460</v>
      </c>
      <c r="E21" s="413" t="s">
        <v>534</v>
      </c>
      <c r="F21" s="410" t="s">
        <v>535</v>
      </c>
      <c r="G21" s="408" t="s">
        <v>419</v>
      </c>
      <c r="H21" s="406" t="s">
        <v>536</v>
      </c>
      <c r="I21" s="411"/>
      <c r="J21" s="406" t="s">
        <v>516</v>
      </c>
      <c r="K21" s="407" t="s">
        <v>450</v>
      </c>
      <c r="L21" s="407" t="s">
        <v>424</v>
      </c>
    </row>
    <row r="22" spans="1:12" ht="60">
      <c r="A22" s="406">
        <v>18</v>
      </c>
      <c r="B22" s="407" t="s">
        <v>537</v>
      </c>
      <c r="C22" s="415" t="s">
        <v>495</v>
      </c>
      <c r="D22" s="414" t="s">
        <v>496</v>
      </c>
      <c r="E22" s="413" t="s">
        <v>538</v>
      </c>
      <c r="F22" s="410" t="s">
        <v>539</v>
      </c>
      <c r="G22" s="415" t="s">
        <v>499</v>
      </c>
      <c r="H22" s="407" t="s">
        <v>540</v>
      </c>
      <c r="I22" s="411"/>
      <c r="J22" s="406" t="s">
        <v>541</v>
      </c>
      <c r="K22" s="407" t="s">
        <v>450</v>
      </c>
      <c r="L22" s="407" t="s">
        <v>424</v>
      </c>
    </row>
    <row r="23" spans="1:12" ht="60" hidden="1">
      <c r="A23" s="406">
        <v>19</v>
      </c>
      <c r="B23" s="407" t="s">
        <v>542</v>
      </c>
      <c r="C23" s="415" t="s">
        <v>495</v>
      </c>
      <c r="D23" s="414" t="s">
        <v>460</v>
      </c>
      <c r="E23" s="413" t="s">
        <v>543</v>
      </c>
      <c r="F23" s="410" t="s">
        <v>544</v>
      </c>
      <c r="G23" s="408" t="s">
        <v>419</v>
      </c>
      <c r="H23" s="407" t="s">
        <v>545</v>
      </c>
      <c r="I23" s="411"/>
      <c r="J23" s="406" t="s">
        <v>546</v>
      </c>
      <c r="K23" s="407" t="s">
        <v>547</v>
      </c>
      <c r="L23" s="407" t="s">
        <v>424</v>
      </c>
    </row>
    <row r="24" spans="1:12" ht="60" hidden="1">
      <c r="A24" s="406">
        <v>20</v>
      </c>
      <c r="B24" s="411" t="s">
        <v>548</v>
      </c>
      <c r="C24" s="415" t="s">
        <v>495</v>
      </c>
      <c r="D24" s="414" t="s">
        <v>466</v>
      </c>
      <c r="E24" s="413" t="s">
        <v>549</v>
      </c>
      <c r="F24" s="410" t="s">
        <v>550</v>
      </c>
      <c r="G24" s="408" t="s">
        <v>419</v>
      </c>
      <c r="H24" s="407" t="s">
        <v>551</v>
      </c>
      <c r="I24" s="411"/>
      <c r="J24" s="406" t="s">
        <v>541</v>
      </c>
      <c r="K24" s="407" t="s">
        <v>450</v>
      </c>
      <c r="L24" s="407" t="s">
        <v>424</v>
      </c>
    </row>
    <row r="25" spans="1:12" ht="60" hidden="1">
      <c r="A25" s="406">
        <v>21</v>
      </c>
      <c r="B25" s="411" t="s">
        <v>552</v>
      </c>
      <c r="C25" s="413" t="s">
        <v>495</v>
      </c>
      <c r="D25" s="414" t="s">
        <v>553</v>
      </c>
      <c r="E25" s="413" t="s">
        <v>554</v>
      </c>
      <c r="F25" s="410" t="s">
        <v>555</v>
      </c>
      <c r="G25" s="408" t="s">
        <v>419</v>
      </c>
      <c r="H25" s="407" t="s">
        <v>556</v>
      </c>
      <c r="I25" s="362" t="s">
        <v>557</v>
      </c>
      <c r="J25" s="406" t="s">
        <v>541</v>
      </c>
      <c r="K25" s="407" t="s">
        <v>450</v>
      </c>
      <c r="L25" s="407" t="s">
        <v>424</v>
      </c>
    </row>
    <row r="26" spans="1:12" ht="60">
      <c r="A26" s="406">
        <v>22</v>
      </c>
      <c r="B26" s="407" t="s">
        <v>558</v>
      </c>
      <c r="C26" s="432" t="s">
        <v>559</v>
      </c>
      <c r="D26" s="433" t="s">
        <v>496</v>
      </c>
      <c r="E26" s="432" t="s">
        <v>560</v>
      </c>
      <c r="F26" s="434" t="s">
        <v>561</v>
      </c>
      <c r="G26" s="432" t="s">
        <v>430</v>
      </c>
      <c r="H26" s="407" t="s">
        <v>562</v>
      </c>
      <c r="I26" s="362" t="s">
        <v>449</v>
      </c>
      <c r="J26" s="406" t="s">
        <v>563</v>
      </c>
      <c r="K26" s="407" t="s">
        <v>433</v>
      </c>
      <c r="L26" s="407" t="s">
        <v>424</v>
      </c>
    </row>
    <row r="27" spans="1:12" ht="60">
      <c r="A27" s="406">
        <v>23</v>
      </c>
      <c r="B27" s="407" t="s">
        <v>564</v>
      </c>
      <c r="C27" s="432" t="s">
        <v>559</v>
      </c>
      <c r="D27" s="414" t="s">
        <v>496</v>
      </c>
      <c r="E27" s="413" t="s">
        <v>565</v>
      </c>
      <c r="F27" s="410" t="s">
        <v>566</v>
      </c>
      <c r="G27" s="413" t="s">
        <v>430</v>
      </c>
      <c r="H27" s="407" t="s">
        <v>567</v>
      </c>
      <c r="I27" s="362" t="s">
        <v>449</v>
      </c>
      <c r="J27" s="406" t="s">
        <v>563</v>
      </c>
      <c r="K27" s="407" t="s">
        <v>450</v>
      </c>
      <c r="L27" s="407" t="s">
        <v>424</v>
      </c>
    </row>
    <row r="28" spans="1:12" ht="60" hidden="1">
      <c r="A28" s="406">
        <v>24</v>
      </c>
      <c r="B28" s="407" t="s">
        <v>568</v>
      </c>
      <c r="C28" s="432" t="s">
        <v>559</v>
      </c>
      <c r="D28" s="414" t="s">
        <v>569</v>
      </c>
      <c r="E28" s="413" t="s">
        <v>570</v>
      </c>
      <c r="F28" s="410" t="s">
        <v>571</v>
      </c>
      <c r="G28" s="413" t="s">
        <v>430</v>
      </c>
      <c r="H28" s="407" t="s">
        <v>572</v>
      </c>
      <c r="I28" s="411"/>
      <c r="J28" s="406" t="s">
        <v>563</v>
      </c>
      <c r="K28" s="407" t="s">
        <v>433</v>
      </c>
      <c r="L28" s="407" t="s">
        <v>424</v>
      </c>
    </row>
    <row r="29" spans="1:12" ht="60" hidden="1">
      <c r="A29" s="406">
        <v>25</v>
      </c>
      <c r="B29" s="407" t="s">
        <v>573</v>
      </c>
      <c r="C29" s="413" t="s">
        <v>574</v>
      </c>
      <c r="D29" s="414" t="s">
        <v>575</v>
      </c>
      <c r="E29" s="413" t="s">
        <v>576</v>
      </c>
      <c r="F29" s="408" t="s">
        <v>577</v>
      </c>
      <c r="G29" s="408" t="s">
        <v>419</v>
      </c>
      <c r="H29" s="407" t="s">
        <v>578</v>
      </c>
      <c r="I29" s="362" t="s">
        <v>449</v>
      </c>
      <c r="J29" s="406" t="s">
        <v>563</v>
      </c>
      <c r="K29" s="407" t="s">
        <v>433</v>
      </c>
      <c r="L29" s="407" t="s">
        <v>424</v>
      </c>
    </row>
    <row r="30" spans="1:12" ht="75" hidden="1">
      <c r="A30" s="406">
        <v>26</v>
      </c>
      <c r="B30" s="406" t="s">
        <v>579</v>
      </c>
      <c r="C30" s="413" t="s">
        <v>580</v>
      </c>
      <c r="D30" s="414" t="s">
        <v>581</v>
      </c>
      <c r="E30" s="413" t="s">
        <v>582</v>
      </c>
      <c r="F30" s="410" t="s">
        <v>583</v>
      </c>
      <c r="G30" s="408" t="s">
        <v>419</v>
      </c>
      <c r="H30" s="406" t="s">
        <v>584</v>
      </c>
      <c r="I30" s="411"/>
      <c r="J30" s="406" t="s">
        <v>585</v>
      </c>
      <c r="K30" s="406" t="s">
        <v>586</v>
      </c>
      <c r="L30" s="407" t="s">
        <v>424</v>
      </c>
    </row>
    <row r="31" spans="1:12" ht="60" hidden="1">
      <c r="A31" s="406">
        <v>27</v>
      </c>
      <c r="B31" s="407" t="s">
        <v>587</v>
      </c>
      <c r="C31" s="413" t="s">
        <v>588</v>
      </c>
      <c r="D31" s="414" t="s">
        <v>466</v>
      </c>
      <c r="E31" s="413" t="s">
        <v>589</v>
      </c>
      <c r="F31" s="410" t="s">
        <v>590</v>
      </c>
      <c r="G31" s="408" t="s">
        <v>419</v>
      </c>
      <c r="H31" s="407" t="s">
        <v>591</v>
      </c>
      <c r="I31" s="411"/>
      <c r="J31" s="406" t="s">
        <v>585</v>
      </c>
      <c r="K31" s="407" t="s">
        <v>433</v>
      </c>
      <c r="L31" s="407" t="s">
        <v>424</v>
      </c>
    </row>
    <row r="32" spans="1:12" ht="60" hidden="1">
      <c r="A32" s="406">
        <v>28</v>
      </c>
      <c r="B32" s="407" t="s">
        <v>512</v>
      </c>
      <c r="C32" s="415" t="s">
        <v>588</v>
      </c>
      <c r="D32" s="414" t="s">
        <v>569</v>
      </c>
      <c r="E32" s="413" t="s">
        <v>592</v>
      </c>
      <c r="F32" s="408" t="s">
        <v>593</v>
      </c>
      <c r="G32" s="408" t="s">
        <v>419</v>
      </c>
      <c r="H32" s="407" t="s">
        <v>594</v>
      </c>
      <c r="I32" s="411"/>
      <c r="J32" s="406" t="s">
        <v>585</v>
      </c>
      <c r="K32" s="407" t="s">
        <v>433</v>
      </c>
      <c r="L32" s="407" t="s">
        <v>424</v>
      </c>
    </row>
    <row r="33" spans="1:12" ht="60" hidden="1">
      <c r="A33" s="406">
        <v>29</v>
      </c>
      <c r="B33" s="406" t="s">
        <v>595</v>
      </c>
      <c r="C33" s="413" t="s">
        <v>588</v>
      </c>
      <c r="D33" s="414" t="s">
        <v>519</v>
      </c>
      <c r="E33" s="413" t="s">
        <v>596</v>
      </c>
      <c r="F33" s="410" t="s">
        <v>597</v>
      </c>
      <c r="G33" s="408" t="s">
        <v>419</v>
      </c>
      <c r="H33" s="406" t="s">
        <v>598</v>
      </c>
      <c r="I33" s="411"/>
      <c r="J33" s="406" t="s">
        <v>585</v>
      </c>
      <c r="K33" s="407" t="s">
        <v>433</v>
      </c>
      <c r="L33" s="407" t="s">
        <v>424</v>
      </c>
    </row>
    <row r="34" spans="1:12" ht="75" hidden="1">
      <c r="A34" s="406">
        <v>30</v>
      </c>
      <c r="B34" s="406" t="s">
        <v>599</v>
      </c>
      <c r="C34" s="415" t="s">
        <v>600</v>
      </c>
      <c r="D34" s="414" t="s">
        <v>460</v>
      </c>
      <c r="E34" s="413" t="s">
        <v>601</v>
      </c>
      <c r="F34" s="410" t="s">
        <v>602</v>
      </c>
      <c r="G34" s="408" t="s">
        <v>603</v>
      </c>
      <c r="H34" s="406" t="s">
        <v>604</v>
      </c>
      <c r="I34" s="362" t="s">
        <v>449</v>
      </c>
      <c r="J34" s="406" t="s">
        <v>493</v>
      </c>
      <c r="K34" s="406" t="s">
        <v>586</v>
      </c>
      <c r="L34" s="407" t="s">
        <v>424</v>
      </c>
    </row>
    <row r="35" spans="1:12" ht="60" hidden="1">
      <c r="A35" s="406">
        <v>31</v>
      </c>
      <c r="B35" s="406" t="s">
        <v>605</v>
      </c>
      <c r="C35" s="413" t="s">
        <v>606</v>
      </c>
      <c r="D35" s="409" t="s">
        <v>466</v>
      </c>
      <c r="E35" s="410" t="s">
        <v>607</v>
      </c>
      <c r="F35" s="410" t="s">
        <v>608</v>
      </c>
      <c r="G35" s="408" t="s">
        <v>419</v>
      </c>
      <c r="H35" s="406" t="s">
        <v>609</v>
      </c>
      <c r="I35" s="411"/>
      <c r="J35" s="406" t="s">
        <v>493</v>
      </c>
      <c r="K35" s="407" t="s">
        <v>433</v>
      </c>
      <c r="L35" s="407" t="s">
        <v>424</v>
      </c>
    </row>
    <row r="36" spans="1:12" ht="60" hidden="1">
      <c r="A36" s="406">
        <v>32</v>
      </c>
      <c r="B36" s="406" t="s">
        <v>610</v>
      </c>
      <c r="C36" s="413" t="s">
        <v>611</v>
      </c>
      <c r="D36" s="414" t="s">
        <v>519</v>
      </c>
      <c r="E36" s="413" t="s">
        <v>612</v>
      </c>
      <c r="F36" s="410" t="s">
        <v>613</v>
      </c>
      <c r="G36" s="408" t="s">
        <v>419</v>
      </c>
      <c r="H36" s="406" t="s">
        <v>614</v>
      </c>
      <c r="I36" s="362" t="s">
        <v>449</v>
      </c>
      <c r="J36" s="406" t="s">
        <v>432</v>
      </c>
      <c r="K36" s="407" t="s">
        <v>450</v>
      </c>
      <c r="L36" s="407" t="s">
        <v>424</v>
      </c>
    </row>
    <row r="37" spans="1:12" ht="60">
      <c r="A37" s="406">
        <v>33</v>
      </c>
      <c r="B37" s="406" t="s">
        <v>615</v>
      </c>
      <c r="C37" s="415" t="s">
        <v>616</v>
      </c>
      <c r="D37" s="414" t="s">
        <v>617</v>
      </c>
      <c r="E37" s="413" t="s">
        <v>618</v>
      </c>
      <c r="F37" s="410" t="s">
        <v>619</v>
      </c>
      <c r="G37" s="408" t="s">
        <v>419</v>
      </c>
      <c r="H37" s="406" t="s">
        <v>620</v>
      </c>
      <c r="I37" s="411"/>
      <c r="J37" s="406" t="s">
        <v>432</v>
      </c>
      <c r="K37" s="407" t="s">
        <v>433</v>
      </c>
      <c r="L37" s="407" t="s">
        <v>424</v>
      </c>
    </row>
    <row r="38" spans="1:12" ht="60" hidden="1">
      <c r="A38" s="406">
        <v>34</v>
      </c>
      <c r="B38" s="406" t="s">
        <v>621</v>
      </c>
      <c r="C38" s="418" t="s">
        <v>444</v>
      </c>
      <c r="D38" s="419" t="s">
        <v>475</v>
      </c>
      <c r="E38" s="417" t="s">
        <v>622</v>
      </c>
      <c r="F38" s="411" t="s">
        <v>623</v>
      </c>
      <c r="G38" s="362" t="s">
        <v>419</v>
      </c>
      <c r="H38" s="426" t="s">
        <v>624</v>
      </c>
      <c r="I38" s="362" t="s">
        <v>449</v>
      </c>
      <c r="J38" s="406" t="s">
        <v>432</v>
      </c>
      <c r="K38" s="407" t="s">
        <v>423</v>
      </c>
      <c r="L38" s="407" t="s">
        <v>424</v>
      </c>
    </row>
    <row r="39" spans="1:12" ht="95.25" hidden="1" customHeight="1">
      <c r="A39" s="406">
        <v>35</v>
      </c>
      <c r="B39" s="423" t="s">
        <v>625</v>
      </c>
      <c r="C39" s="415" t="s">
        <v>444</v>
      </c>
      <c r="D39" s="414" t="s">
        <v>626</v>
      </c>
      <c r="E39" s="415" t="s">
        <v>627</v>
      </c>
      <c r="F39" s="408" t="s">
        <v>628</v>
      </c>
      <c r="G39" s="408" t="s">
        <v>629</v>
      </c>
      <c r="H39" s="435">
        <v>65000</v>
      </c>
      <c r="I39" s="362" t="s">
        <v>630</v>
      </c>
      <c r="J39" s="429" t="s">
        <v>631</v>
      </c>
      <c r="K39" s="423" t="s">
        <v>632</v>
      </c>
      <c r="L39" s="423" t="s">
        <v>633</v>
      </c>
    </row>
    <row r="40" spans="1:12" ht="75" hidden="1">
      <c r="A40" s="406">
        <v>36</v>
      </c>
      <c r="B40" s="406" t="s">
        <v>634</v>
      </c>
      <c r="C40" s="418" t="s">
        <v>635</v>
      </c>
      <c r="D40" s="419" t="s">
        <v>460</v>
      </c>
      <c r="E40" s="419" t="s">
        <v>636</v>
      </c>
      <c r="F40" s="421" t="s">
        <v>637</v>
      </c>
      <c r="G40" s="362" t="s">
        <v>419</v>
      </c>
      <c r="H40" s="436" t="s">
        <v>638</v>
      </c>
      <c r="I40" s="411"/>
      <c r="J40" s="406" t="s">
        <v>432</v>
      </c>
      <c r="K40" s="407" t="s">
        <v>480</v>
      </c>
      <c r="L40" s="407" t="s">
        <v>424</v>
      </c>
    </row>
    <row r="41" spans="1:12" ht="60">
      <c r="A41" s="406">
        <v>37</v>
      </c>
      <c r="B41" s="406" t="s">
        <v>639</v>
      </c>
      <c r="C41" s="415" t="s">
        <v>640</v>
      </c>
      <c r="D41" s="414" t="s">
        <v>641</v>
      </c>
      <c r="E41" s="413" t="s">
        <v>642</v>
      </c>
      <c r="F41" s="410" t="s">
        <v>643</v>
      </c>
      <c r="G41" s="408" t="s">
        <v>439</v>
      </c>
      <c r="H41" s="406" t="s">
        <v>644</v>
      </c>
      <c r="I41" s="362" t="s">
        <v>645</v>
      </c>
      <c r="J41" s="406" t="s">
        <v>432</v>
      </c>
      <c r="K41" s="407" t="s">
        <v>433</v>
      </c>
      <c r="L41" s="407" t="s">
        <v>424</v>
      </c>
    </row>
    <row r="42" spans="1:12" ht="75" hidden="1">
      <c r="A42" s="406">
        <v>38</v>
      </c>
      <c r="B42" s="406" t="s">
        <v>646</v>
      </c>
      <c r="C42" s="418" t="s">
        <v>647</v>
      </c>
      <c r="D42" s="414" t="s">
        <v>648</v>
      </c>
      <c r="E42" s="413" t="s">
        <v>649</v>
      </c>
      <c r="F42" s="410" t="s">
        <v>650</v>
      </c>
      <c r="G42" s="362" t="s">
        <v>419</v>
      </c>
      <c r="H42" s="436" t="s">
        <v>651</v>
      </c>
      <c r="I42" s="411"/>
      <c r="J42" s="406" t="s">
        <v>652</v>
      </c>
      <c r="K42" s="407" t="s">
        <v>480</v>
      </c>
      <c r="L42" s="407" t="s">
        <v>424</v>
      </c>
    </row>
    <row r="43" spans="1:12" ht="60" hidden="1">
      <c r="A43" s="406">
        <v>39</v>
      </c>
      <c r="B43" s="407" t="s">
        <v>653</v>
      </c>
      <c r="C43" s="413" t="s">
        <v>654</v>
      </c>
      <c r="D43" s="414" t="s">
        <v>655</v>
      </c>
      <c r="E43" s="413" t="s">
        <v>656</v>
      </c>
      <c r="F43" s="410" t="s">
        <v>657</v>
      </c>
      <c r="G43" s="408" t="s">
        <v>419</v>
      </c>
      <c r="H43" s="407" t="s">
        <v>658</v>
      </c>
      <c r="I43" s="362" t="s">
        <v>449</v>
      </c>
      <c r="J43" s="406" t="s">
        <v>652</v>
      </c>
      <c r="K43" s="407" t="s">
        <v>547</v>
      </c>
      <c r="L43" s="407" t="s">
        <v>424</v>
      </c>
    </row>
    <row r="44" spans="1:12" ht="60">
      <c r="A44" s="406">
        <v>40</v>
      </c>
      <c r="B44" s="407" t="s">
        <v>659</v>
      </c>
      <c r="C44" s="413" t="s">
        <v>654</v>
      </c>
      <c r="D44" s="414" t="s">
        <v>660</v>
      </c>
      <c r="E44" s="413" t="s">
        <v>661</v>
      </c>
      <c r="F44" s="410" t="s">
        <v>662</v>
      </c>
      <c r="G44" s="408" t="s">
        <v>419</v>
      </c>
      <c r="H44" s="407" t="s">
        <v>663</v>
      </c>
      <c r="I44" s="362" t="s">
        <v>486</v>
      </c>
      <c r="J44" s="406" t="s">
        <v>664</v>
      </c>
      <c r="K44" s="407" t="s">
        <v>450</v>
      </c>
      <c r="L44" s="407" t="s">
        <v>424</v>
      </c>
    </row>
    <row r="45" spans="1:12" ht="60" hidden="1">
      <c r="A45" s="406">
        <v>41</v>
      </c>
      <c r="B45" s="407" t="s">
        <v>665</v>
      </c>
      <c r="C45" s="413" t="s">
        <v>654</v>
      </c>
      <c r="D45" s="414" t="s">
        <v>666</v>
      </c>
      <c r="E45" s="413" t="s">
        <v>667</v>
      </c>
      <c r="F45" s="410" t="s">
        <v>668</v>
      </c>
      <c r="G45" s="408" t="s">
        <v>419</v>
      </c>
      <c r="H45" s="407" t="s">
        <v>669</v>
      </c>
      <c r="I45" s="362" t="s">
        <v>449</v>
      </c>
      <c r="J45" s="406" t="s">
        <v>664</v>
      </c>
      <c r="K45" s="407" t="s">
        <v>450</v>
      </c>
      <c r="L45" s="407" t="s">
        <v>424</v>
      </c>
    </row>
    <row r="46" spans="1:12" ht="60" hidden="1">
      <c r="A46" s="406">
        <v>42</v>
      </c>
      <c r="B46" s="407" t="s">
        <v>670</v>
      </c>
      <c r="C46" s="415" t="s">
        <v>654</v>
      </c>
      <c r="D46" s="414" t="s">
        <v>460</v>
      </c>
      <c r="E46" s="413" t="s">
        <v>671</v>
      </c>
      <c r="F46" s="410" t="s">
        <v>672</v>
      </c>
      <c r="G46" s="408" t="s">
        <v>419</v>
      </c>
      <c r="H46" s="407" t="s">
        <v>673</v>
      </c>
      <c r="I46" s="362" t="s">
        <v>449</v>
      </c>
      <c r="J46" s="406" t="s">
        <v>664</v>
      </c>
      <c r="K46" s="407" t="s">
        <v>450</v>
      </c>
      <c r="L46" s="407" t="s">
        <v>424</v>
      </c>
    </row>
    <row r="47" spans="1:12" ht="60" hidden="1">
      <c r="A47" s="406">
        <v>43</v>
      </c>
      <c r="B47" s="407" t="s">
        <v>674</v>
      </c>
      <c r="C47" s="413" t="s">
        <v>654</v>
      </c>
      <c r="D47" s="414" t="s">
        <v>460</v>
      </c>
      <c r="E47" s="413" t="s">
        <v>675</v>
      </c>
      <c r="F47" s="410" t="s">
        <v>676</v>
      </c>
      <c r="G47" s="408" t="s">
        <v>419</v>
      </c>
      <c r="H47" s="407" t="s">
        <v>677</v>
      </c>
      <c r="I47" s="362" t="s">
        <v>449</v>
      </c>
      <c r="J47" s="406" t="s">
        <v>479</v>
      </c>
      <c r="K47" s="407" t="s">
        <v>450</v>
      </c>
      <c r="L47" s="407" t="s">
        <v>424</v>
      </c>
    </row>
    <row r="48" spans="1:12" ht="60" hidden="1">
      <c r="A48" s="406">
        <v>44</v>
      </c>
      <c r="B48" s="407" t="s">
        <v>678</v>
      </c>
      <c r="C48" s="413" t="s">
        <v>654</v>
      </c>
      <c r="D48" s="414" t="s">
        <v>666</v>
      </c>
      <c r="E48" s="413" t="s">
        <v>679</v>
      </c>
      <c r="F48" s="410" t="s">
        <v>680</v>
      </c>
      <c r="G48" s="408" t="s">
        <v>419</v>
      </c>
      <c r="H48" s="407" t="s">
        <v>681</v>
      </c>
      <c r="I48" s="362" t="s">
        <v>449</v>
      </c>
      <c r="J48" s="406" t="s">
        <v>479</v>
      </c>
      <c r="K48" s="407" t="s">
        <v>433</v>
      </c>
      <c r="L48" s="407" t="s">
        <v>424</v>
      </c>
    </row>
    <row r="49" spans="1:12" ht="60" hidden="1">
      <c r="A49" s="406">
        <v>45</v>
      </c>
      <c r="B49" s="407" t="s">
        <v>682</v>
      </c>
      <c r="C49" s="413" t="s">
        <v>654</v>
      </c>
      <c r="D49" s="414" t="s">
        <v>460</v>
      </c>
      <c r="E49" s="413" t="s">
        <v>683</v>
      </c>
      <c r="F49" s="410" t="s">
        <v>684</v>
      </c>
      <c r="G49" s="408" t="s">
        <v>419</v>
      </c>
      <c r="H49" s="407" t="s">
        <v>685</v>
      </c>
      <c r="I49" s="362" t="s">
        <v>449</v>
      </c>
      <c r="J49" s="406" t="s">
        <v>479</v>
      </c>
      <c r="K49" s="407" t="s">
        <v>433</v>
      </c>
      <c r="L49" s="407" t="s">
        <v>424</v>
      </c>
    </row>
    <row r="50" spans="1:12" ht="60" hidden="1">
      <c r="A50" s="406">
        <v>46</v>
      </c>
      <c r="B50" s="407" t="s">
        <v>682</v>
      </c>
      <c r="C50" s="413" t="s">
        <v>654</v>
      </c>
      <c r="D50" s="414" t="s">
        <v>553</v>
      </c>
      <c r="E50" s="413" t="s">
        <v>686</v>
      </c>
      <c r="F50" s="410" t="s">
        <v>687</v>
      </c>
      <c r="G50" s="408" t="s">
        <v>419</v>
      </c>
      <c r="H50" s="407" t="s">
        <v>688</v>
      </c>
      <c r="I50" s="411"/>
      <c r="J50" s="406" t="s">
        <v>479</v>
      </c>
      <c r="K50" s="407" t="s">
        <v>547</v>
      </c>
      <c r="L50" s="407" t="s">
        <v>424</v>
      </c>
    </row>
    <row r="51" spans="1:12" ht="60">
      <c r="A51" s="406">
        <v>47</v>
      </c>
      <c r="B51" s="423" t="s">
        <v>689</v>
      </c>
      <c r="C51" s="415" t="s">
        <v>690</v>
      </c>
      <c r="D51" s="414" t="s">
        <v>691</v>
      </c>
      <c r="E51" s="415" t="s">
        <v>692</v>
      </c>
      <c r="F51" s="408" t="s">
        <v>693</v>
      </c>
      <c r="G51" s="415" t="s">
        <v>439</v>
      </c>
      <c r="H51" s="437" t="s">
        <v>694</v>
      </c>
      <c r="I51" s="411"/>
      <c r="J51" s="407" t="s">
        <v>695</v>
      </c>
      <c r="K51" s="407"/>
      <c r="L51" s="407" t="s">
        <v>511</v>
      </c>
    </row>
    <row r="52" spans="1:12" ht="75">
      <c r="A52" s="406">
        <v>48</v>
      </c>
      <c r="B52" s="406" t="s">
        <v>696</v>
      </c>
      <c r="C52" s="413" t="s">
        <v>654</v>
      </c>
      <c r="D52" s="414" t="s">
        <v>697</v>
      </c>
      <c r="E52" s="413" t="s">
        <v>698</v>
      </c>
      <c r="F52" s="410" t="s">
        <v>699</v>
      </c>
      <c r="G52" s="408" t="s">
        <v>439</v>
      </c>
      <c r="H52" s="436" t="s">
        <v>700</v>
      </c>
      <c r="I52" s="362" t="s">
        <v>449</v>
      </c>
      <c r="J52" s="406" t="s">
        <v>479</v>
      </c>
      <c r="K52" s="407" t="s">
        <v>480</v>
      </c>
      <c r="L52" s="407" t="s">
        <v>424</v>
      </c>
    </row>
    <row r="53" spans="1:12" ht="60" hidden="1">
      <c r="A53" s="406">
        <v>49</v>
      </c>
      <c r="B53" s="407" t="s">
        <v>701</v>
      </c>
      <c r="C53" s="413" t="s">
        <v>474</v>
      </c>
      <c r="D53" s="414" t="s">
        <v>416</v>
      </c>
      <c r="E53" s="413" t="s">
        <v>702</v>
      </c>
      <c r="F53" s="410" t="s">
        <v>703</v>
      </c>
      <c r="G53" s="408" t="s">
        <v>419</v>
      </c>
      <c r="H53" s="407" t="s">
        <v>704</v>
      </c>
      <c r="I53" s="411"/>
      <c r="J53" s="406" t="s">
        <v>479</v>
      </c>
      <c r="K53" s="407" t="s">
        <v>450</v>
      </c>
      <c r="L53" s="407" t="s">
        <v>424</v>
      </c>
    </row>
    <row r="54" spans="1:12" ht="60" hidden="1">
      <c r="A54" s="406">
        <v>50</v>
      </c>
      <c r="B54" s="406" t="s">
        <v>705</v>
      </c>
      <c r="C54" s="413" t="s">
        <v>474</v>
      </c>
      <c r="D54" s="414" t="s">
        <v>416</v>
      </c>
      <c r="E54" s="413" t="s">
        <v>706</v>
      </c>
      <c r="F54" s="410" t="s">
        <v>707</v>
      </c>
      <c r="G54" s="408" t="s">
        <v>419</v>
      </c>
      <c r="H54" s="431" t="s">
        <v>708</v>
      </c>
      <c r="I54" s="411"/>
      <c r="J54" s="406" t="s">
        <v>479</v>
      </c>
      <c r="K54" s="407" t="s">
        <v>450</v>
      </c>
      <c r="L54" s="407" t="s">
        <v>424</v>
      </c>
    </row>
    <row r="55" spans="1:12" ht="75" hidden="1">
      <c r="A55" s="406">
        <v>51</v>
      </c>
      <c r="B55" s="406" t="s">
        <v>709</v>
      </c>
      <c r="C55" s="413" t="s">
        <v>710</v>
      </c>
      <c r="D55" s="414" t="s">
        <v>460</v>
      </c>
      <c r="E55" s="413" t="s">
        <v>711</v>
      </c>
      <c r="F55" s="410" t="s">
        <v>712</v>
      </c>
      <c r="G55" s="408" t="s">
        <v>419</v>
      </c>
      <c r="H55" s="427">
        <v>66731.78</v>
      </c>
      <c r="I55" s="362" t="s">
        <v>449</v>
      </c>
      <c r="J55" s="406" t="s">
        <v>664</v>
      </c>
      <c r="K55" s="406" t="s">
        <v>586</v>
      </c>
      <c r="L55" s="407" t="s">
        <v>424</v>
      </c>
    </row>
    <row r="56" spans="1:12" ht="60" hidden="1">
      <c r="A56" s="406">
        <v>52</v>
      </c>
      <c r="B56" s="406" t="s">
        <v>713</v>
      </c>
      <c r="C56" s="413" t="s">
        <v>710</v>
      </c>
      <c r="D56" s="414" t="s">
        <v>714</v>
      </c>
      <c r="E56" s="413" t="s">
        <v>715</v>
      </c>
      <c r="F56" s="421" t="s">
        <v>716</v>
      </c>
      <c r="G56" s="408" t="s">
        <v>419</v>
      </c>
      <c r="H56" s="406" t="s">
        <v>717</v>
      </c>
      <c r="I56" s="362" t="s">
        <v>449</v>
      </c>
      <c r="J56" s="406" t="s">
        <v>718</v>
      </c>
      <c r="K56" s="406" t="s">
        <v>719</v>
      </c>
      <c r="L56" s="407" t="s">
        <v>424</v>
      </c>
    </row>
    <row r="57" spans="1:12" ht="60" hidden="1">
      <c r="A57" s="406">
        <v>53</v>
      </c>
      <c r="B57" s="406" t="s">
        <v>720</v>
      </c>
      <c r="C57" s="418" t="s">
        <v>710</v>
      </c>
      <c r="D57" s="419" t="s">
        <v>721</v>
      </c>
      <c r="E57" s="420" t="s">
        <v>722</v>
      </c>
      <c r="F57" s="421" t="s">
        <v>723</v>
      </c>
      <c r="G57" s="362" t="s">
        <v>419</v>
      </c>
      <c r="H57" s="426" t="s">
        <v>724</v>
      </c>
      <c r="I57" s="362" t="s">
        <v>725</v>
      </c>
      <c r="J57" s="406" t="s">
        <v>726</v>
      </c>
      <c r="K57" s="406" t="s">
        <v>727</v>
      </c>
      <c r="L57" s="407" t="s">
        <v>424</v>
      </c>
    </row>
    <row r="58" spans="1:12" ht="60">
      <c r="A58" s="406">
        <v>54</v>
      </c>
      <c r="B58" s="406" t="s">
        <v>728</v>
      </c>
      <c r="C58" s="415" t="s">
        <v>729</v>
      </c>
      <c r="D58" s="414" t="s">
        <v>660</v>
      </c>
      <c r="E58" s="438" t="s">
        <v>730</v>
      </c>
      <c r="F58" s="410" t="s">
        <v>731</v>
      </c>
      <c r="G58" s="408" t="s">
        <v>419</v>
      </c>
      <c r="H58" s="406" t="s">
        <v>732</v>
      </c>
      <c r="I58" s="411"/>
      <c r="J58" s="406" t="s">
        <v>664</v>
      </c>
      <c r="K58" s="407" t="s">
        <v>547</v>
      </c>
      <c r="L58" s="407" t="s">
        <v>424</v>
      </c>
    </row>
    <row r="59" spans="1:12" ht="60" hidden="1">
      <c r="A59" s="406">
        <v>55</v>
      </c>
      <c r="B59" s="406" t="s">
        <v>733</v>
      </c>
      <c r="C59" s="413" t="s">
        <v>729</v>
      </c>
      <c r="D59" s="414" t="s">
        <v>734</v>
      </c>
      <c r="E59" s="413" t="s">
        <v>735</v>
      </c>
      <c r="F59" s="410" t="s">
        <v>736</v>
      </c>
      <c r="G59" s="408" t="s">
        <v>419</v>
      </c>
      <c r="H59" s="411" t="s">
        <v>737</v>
      </c>
      <c r="I59" s="362" t="s">
        <v>449</v>
      </c>
      <c r="J59" s="406" t="s">
        <v>493</v>
      </c>
      <c r="K59" s="407" t="s">
        <v>547</v>
      </c>
      <c r="L59" s="407" t="s">
        <v>424</v>
      </c>
    </row>
    <row r="60" spans="1:12" ht="81" hidden="1" customHeight="1">
      <c r="A60" s="406">
        <v>56</v>
      </c>
      <c r="B60" s="406" t="s">
        <v>738</v>
      </c>
      <c r="C60" s="425" t="s">
        <v>503</v>
      </c>
      <c r="D60" s="419" t="s">
        <v>739</v>
      </c>
      <c r="E60" s="439" t="s">
        <v>740</v>
      </c>
      <c r="F60" s="440" t="s">
        <v>741</v>
      </c>
      <c r="G60" s="362" t="s">
        <v>419</v>
      </c>
      <c r="H60" s="411" t="s">
        <v>742</v>
      </c>
      <c r="I60" s="411"/>
      <c r="J60" s="406" t="s">
        <v>493</v>
      </c>
      <c r="K60" s="423" t="s">
        <v>743</v>
      </c>
      <c r="L60" s="407" t="s">
        <v>424</v>
      </c>
    </row>
    <row r="61" spans="1:12" ht="75" hidden="1">
      <c r="A61" s="406">
        <v>57</v>
      </c>
      <c r="B61" s="406" t="s">
        <v>744</v>
      </c>
      <c r="C61" s="425" t="s">
        <v>503</v>
      </c>
      <c r="D61" s="419" t="s">
        <v>460</v>
      </c>
      <c r="E61" s="411" t="s">
        <v>745</v>
      </c>
      <c r="F61" s="440" t="s">
        <v>746</v>
      </c>
      <c r="G61" s="362" t="s">
        <v>419</v>
      </c>
      <c r="H61" s="426" t="s">
        <v>747</v>
      </c>
      <c r="I61" s="362" t="s">
        <v>449</v>
      </c>
      <c r="J61" s="406" t="s">
        <v>493</v>
      </c>
      <c r="K61" s="406" t="s">
        <v>586</v>
      </c>
      <c r="L61" s="407" t="s">
        <v>424</v>
      </c>
    </row>
    <row r="62" spans="1:12" ht="105">
      <c r="A62" s="406">
        <v>58</v>
      </c>
      <c r="B62" s="429" t="s">
        <v>748</v>
      </c>
      <c r="C62" s="415" t="s">
        <v>749</v>
      </c>
      <c r="D62" s="414" t="s">
        <v>750</v>
      </c>
      <c r="E62" s="415" t="s">
        <v>751</v>
      </c>
      <c r="F62" s="408" t="s">
        <v>752</v>
      </c>
      <c r="G62" s="415" t="s">
        <v>430</v>
      </c>
      <c r="H62" s="441" t="s">
        <v>753</v>
      </c>
      <c r="I62" s="411" t="s">
        <v>754</v>
      </c>
      <c r="J62" s="406" t="s">
        <v>755</v>
      </c>
      <c r="K62" s="406" t="s">
        <v>756</v>
      </c>
      <c r="L62" s="423" t="s">
        <v>633</v>
      </c>
    </row>
    <row r="63" spans="1:12" ht="60" hidden="1">
      <c r="A63" s="406">
        <v>59</v>
      </c>
      <c r="B63" s="406" t="s">
        <v>757</v>
      </c>
      <c r="C63" s="425" t="s">
        <v>749</v>
      </c>
      <c r="D63" s="419" t="s">
        <v>490</v>
      </c>
      <c r="E63" s="439" t="s">
        <v>758</v>
      </c>
      <c r="F63" s="440" t="s">
        <v>759</v>
      </c>
      <c r="G63" s="362" t="s">
        <v>419</v>
      </c>
      <c r="H63" s="427" t="s">
        <v>760</v>
      </c>
      <c r="I63" s="362" t="s">
        <v>449</v>
      </c>
      <c r="J63" s="406" t="s">
        <v>761</v>
      </c>
      <c r="K63" s="407" t="s">
        <v>433</v>
      </c>
      <c r="L63" s="407" t="s">
        <v>424</v>
      </c>
    </row>
    <row r="64" spans="1:12" ht="75.75" hidden="1" customHeight="1">
      <c r="A64" s="406">
        <v>60</v>
      </c>
      <c r="B64" s="406" t="s">
        <v>762</v>
      </c>
      <c r="C64" s="418" t="s">
        <v>749</v>
      </c>
      <c r="D64" s="419" t="s">
        <v>416</v>
      </c>
      <c r="E64" s="439" t="s">
        <v>763</v>
      </c>
      <c r="F64" s="440" t="s">
        <v>764</v>
      </c>
      <c r="G64" s="362" t="s">
        <v>419</v>
      </c>
      <c r="H64" s="436" t="s">
        <v>765</v>
      </c>
      <c r="I64" s="411"/>
      <c r="J64" s="406" t="s">
        <v>761</v>
      </c>
      <c r="K64" s="423" t="s">
        <v>743</v>
      </c>
      <c r="L64" s="407" t="s">
        <v>424</v>
      </c>
    </row>
    <row r="65" spans="1:12" ht="60">
      <c r="A65" s="406">
        <v>61</v>
      </c>
      <c r="B65" s="406" t="s">
        <v>766</v>
      </c>
      <c r="C65" s="418" t="s">
        <v>749</v>
      </c>
      <c r="D65" s="419" t="s">
        <v>504</v>
      </c>
      <c r="E65" s="439" t="s">
        <v>767</v>
      </c>
      <c r="F65" s="440" t="s">
        <v>768</v>
      </c>
      <c r="G65" s="362" t="s">
        <v>419</v>
      </c>
      <c r="H65" s="426" t="s">
        <v>769</v>
      </c>
      <c r="I65" s="362" t="s">
        <v>449</v>
      </c>
      <c r="J65" s="406" t="s">
        <v>761</v>
      </c>
      <c r="K65" s="407" t="s">
        <v>547</v>
      </c>
      <c r="L65" s="407" t="s">
        <v>424</v>
      </c>
    </row>
    <row r="66" spans="1:12" ht="79.5" customHeight="1">
      <c r="A66" s="406">
        <v>62</v>
      </c>
      <c r="B66" s="429" t="s">
        <v>770</v>
      </c>
      <c r="C66" s="418" t="s">
        <v>690</v>
      </c>
      <c r="D66" s="419" t="s">
        <v>771</v>
      </c>
      <c r="E66" s="417" t="s">
        <v>772</v>
      </c>
      <c r="F66" s="411" t="s">
        <v>773</v>
      </c>
      <c r="G66" s="362" t="s">
        <v>419</v>
      </c>
      <c r="H66" s="442" t="s">
        <v>774</v>
      </c>
      <c r="I66" s="411"/>
      <c r="J66" s="429" t="s">
        <v>775</v>
      </c>
      <c r="K66" s="423" t="s">
        <v>776</v>
      </c>
      <c r="L66" s="407" t="s">
        <v>424</v>
      </c>
    </row>
    <row r="67" spans="1:12" ht="60" hidden="1">
      <c r="A67" s="406">
        <v>63</v>
      </c>
      <c r="B67" s="406" t="s">
        <v>777</v>
      </c>
      <c r="C67" s="418" t="s">
        <v>690</v>
      </c>
      <c r="D67" s="419" t="s">
        <v>460</v>
      </c>
      <c r="E67" s="417" t="s">
        <v>778</v>
      </c>
      <c r="F67" s="411" t="s">
        <v>779</v>
      </c>
      <c r="G67" s="362" t="s">
        <v>419</v>
      </c>
      <c r="H67" s="426" t="s">
        <v>780</v>
      </c>
      <c r="I67" s="411"/>
      <c r="J67" s="406" t="s">
        <v>781</v>
      </c>
      <c r="K67" s="407" t="s">
        <v>433</v>
      </c>
      <c r="L67" s="407" t="s">
        <v>424</v>
      </c>
    </row>
    <row r="68" spans="1:12" ht="75" hidden="1">
      <c r="A68" s="406">
        <v>64</v>
      </c>
      <c r="B68" s="362" t="s">
        <v>782</v>
      </c>
      <c r="C68" s="418" t="s">
        <v>749</v>
      </c>
      <c r="D68" s="419" t="s">
        <v>453</v>
      </c>
      <c r="E68" s="378" t="s">
        <v>783</v>
      </c>
      <c r="F68" s="406" t="s">
        <v>784</v>
      </c>
      <c r="G68" s="362" t="s">
        <v>419</v>
      </c>
      <c r="H68" s="422" t="s">
        <v>785</v>
      </c>
      <c r="I68" s="362" t="s">
        <v>786</v>
      </c>
      <c r="J68" s="406" t="s">
        <v>787</v>
      </c>
      <c r="K68" s="362" t="s">
        <v>788</v>
      </c>
      <c r="L68" s="362" t="s">
        <v>633</v>
      </c>
    </row>
    <row r="69" spans="1:12" ht="60">
      <c r="A69" s="406">
        <v>65</v>
      </c>
      <c r="B69" s="362" t="s">
        <v>789</v>
      </c>
      <c r="C69" s="418" t="s">
        <v>503</v>
      </c>
      <c r="D69" s="419" t="s">
        <v>790</v>
      </c>
      <c r="E69" s="439" t="s">
        <v>791</v>
      </c>
      <c r="F69" s="440" t="s">
        <v>792</v>
      </c>
      <c r="G69" s="362" t="s">
        <v>419</v>
      </c>
      <c r="H69" s="411" t="s">
        <v>793</v>
      </c>
      <c r="I69" s="411"/>
      <c r="J69" s="406" t="s">
        <v>794</v>
      </c>
      <c r="K69" s="417"/>
      <c r="L69" s="407" t="s">
        <v>424</v>
      </c>
    </row>
    <row r="70" spans="1:12" ht="60">
      <c r="A70" s="406">
        <v>66</v>
      </c>
      <c r="B70" s="411" t="s">
        <v>795</v>
      </c>
      <c r="C70" s="425" t="s">
        <v>796</v>
      </c>
      <c r="D70" s="419" t="s">
        <v>660</v>
      </c>
      <c r="E70" s="439" t="s">
        <v>797</v>
      </c>
      <c r="F70" s="440" t="s">
        <v>798</v>
      </c>
      <c r="G70" s="362" t="s">
        <v>419</v>
      </c>
      <c r="H70" s="411" t="s">
        <v>799</v>
      </c>
      <c r="I70" s="362" t="s">
        <v>449</v>
      </c>
      <c r="J70" s="406" t="s">
        <v>800</v>
      </c>
      <c r="K70" s="417"/>
      <c r="L70" s="407" t="s">
        <v>424</v>
      </c>
    </row>
    <row r="71" spans="1:12" ht="75" hidden="1">
      <c r="A71" s="406">
        <v>67</v>
      </c>
      <c r="B71" s="429" t="s">
        <v>801</v>
      </c>
      <c r="C71" s="418" t="s">
        <v>749</v>
      </c>
      <c r="D71" s="419" t="s">
        <v>453</v>
      </c>
      <c r="E71" s="378" t="s">
        <v>802</v>
      </c>
      <c r="F71" s="443" t="s">
        <v>803</v>
      </c>
      <c r="G71" s="362" t="s">
        <v>419</v>
      </c>
      <c r="H71" s="362" t="s">
        <v>804</v>
      </c>
      <c r="I71" s="362" t="s">
        <v>786</v>
      </c>
      <c r="J71" s="429" t="s">
        <v>805</v>
      </c>
      <c r="K71" s="406" t="s">
        <v>788</v>
      </c>
      <c r="L71" s="362" t="s">
        <v>633</v>
      </c>
    </row>
    <row r="72" spans="1:12" ht="60" hidden="1">
      <c r="A72" s="406">
        <v>68</v>
      </c>
      <c r="B72" s="429" t="s">
        <v>806</v>
      </c>
      <c r="C72" s="418" t="s">
        <v>807</v>
      </c>
      <c r="D72" s="419" t="s">
        <v>808</v>
      </c>
      <c r="E72" s="418" t="s">
        <v>809</v>
      </c>
      <c r="F72" s="406" t="s">
        <v>810</v>
      </c>
      <c r="G72" s="417" t="s">
        <v>430</v>
      </c>
      <c r="H72" s="435">
        <v>50000</v>
      </c>
      <c r="I72" s="411" t="s">
        <v>811</v>
      </c>
      <c r="J72" s="406" t="s">
        <v>812</v>
      </c>
      <c r="K72" s="362" t="s">
        <v>788</v>
      </c>
      <c r="L72" s="362" t="s">
        <v>633</v>
      </c>
    </row>
    <row r="73" spans="1:12" ht="75" hidden="1">
      <c r="A73" s="406">
        <v>69</v>
      </c>
      <c r="B73" s="406" t="s">
        <v>813</v>
      </c>
      <c r="C73" s="418" t="s">
        <v>814</v>
      </c>
      <c r="D73" s="419" t="s">
        <v>453</v>
      </c>
      <c r="E73" s="378" t="s">
        <v>815</v>
      </c>
      <c r="F73" s="443" t="s">
        <v>816</v>
      </c>
      <c r="G73" s="362" t="s">
        <v>629</v>
      </c>
      <c r="H73" s="442" t="s">
        <v>817</v>
      </c>
      <c r="I73" s="362" t="s">
        <v>630</v>
      </c>
      <c r="J73" s="406" t="s">
        <v>818</v>
      </c>
      <c r="K73" s="406" t="s">
        <v>788</v>
      </c>
      <c r="L73" s="362" t="s">
        <v>633</v>
      </c>
    </row>
    <row r="74" spans="1:12" ht="75" hidden="1">
      <c r="A74" s="406">
        <v>70</v>
      </c>
      <c r="B74" s="429" t="s">
        <v>819</v>
      </c>
      <c r="C74" s="418" t="s">
        <v>820</v>
      </c>
      <c r="D74" s="419" t="s">
        <v>821</v>
      </c>
      <c r="E74" s="378" t="s">
        <v>822</v>
      </c>
      <c r="F74" s="443" t="s">
        <v>823</v>
      </c>
      <c r="G74" s="378" t="s">
        <v>499</v>
      </c>
      <c r="H74" s="362" t="s">
        <v>824</v>
      </c>
      <c r="I74" s="411" t="s">
        <v>811</v>
      </c>
      <c r="J74" s="429" t="s">
        <v>825</v>
      </c>
      <c r="K74" s="362" t="s">
        <v>788</v>
      </c>
      <c r="L74" s="362" t="s">
        <v>633</v>
      </c>
    </row>
    <row r="75" spans="1:12" ht="60" hidden="1">
      <c r="A75" s="406">
        <v>71</v>
      </c>
      <c r="B75" s="429" t="s">
        <v>826</v>
      </c>
      <c r="C75" s="418" t="s">
        <v>827</v>
      </c>
      <c r="D75" s="419" t="s">
        <v>553</v>
      </c>
      <c r="E75" s="378"/>
      <c r="F75" s="429" t="s">
        <v>828</v>
      </c>
      <c r="G75" s="378" t="s">
        <v>430</v>
      </c>
      <c r="H75" s="430">
        <v>70611</v>
      </c>
      <c r="I75" s="362" t="s">
        <v>829</v>
      </c>
      <c r="J75" s="406" t="s">
        <v>830</v>
      </c>
      <c r="K75" s="362" t="s">
        <v>831</v>
      </c>
      <c r="L75" s="362" t="s">
        <v>511</v>
      </c>
    </row>
    <row r="76" spans="1:12" ht="60" hidden="1">
      <c r="A76" s="406">
        <v>72</v>
      </c>
      <c r="B76" s="429" t="s">
        <v>826</v>
      </c>
      <c r="C76" s="418" t="s">
        <v>827</v>
      </c>
      <c r="D76" s="419" t="s">
        <v>553</v>
      </c>
      <c r="E76" s="378" t="s">
        <v>832</v>
      </c>
      <c r="F76" s="429" t="s">
        <v>833</v>
      </c>
      <c r="G76" s="362" t="s">
        <v>419</v>
      </c>
      <c r="H76" s="430" t="s">
        <v>834</v>
      </c>
      <c r="I76" s="362" t="s">
        <v>829</v>
      </c>
      <c r="J76" s="406" t="s">
        <v>835</v>
      </c>
      <c r="K76" s="362" t="s">
        <v>831</v>
      </c>
      <c r="L76" s="362" t="s">
        <v>511</v>
      </c>
    </row>
    <row r="77" spans="1:12" ht="95.25" hidden="1" customHeight="1">
      <c r="A77" s="406">
        <v>73</v>
      </c>
      <c r="B77" s="429" t="s">
        <v>806</v>
      </c>
      <c r="C77" s="418" t="s">
        <v>836</v>
      </c>
      <c r="D77" s="419" t="s">
        <v>808</v>
      </c>
      <c r="E77" s="378" t="s">
        <v>837</v>
      </c>
      <c r="F77" s="362" t="s">
        <v>838</v>
      </c>
      <c r="G77" s="362" t="s">
        <v>430</v>
      </c>
      <c r="H77" s="362" t="s">
        <v>839</v>
      </c>
      <c r="I77" s="411" t="s">
        <v>811</v>
      </c>
      <c r="J77" s="429" t="s">
        <v>840</v>
      </c>
      <c r="K77" s="406" t="s">
        <v>788</v>
      </c>
      <c r="L77" s="362" t="s">
        <v>633</v>
      </c>
    </row>
    <row r="78" spans="1:12" ht="86.25" hidden="1" customHeight="1">
      <c r="A78" s="406">
        <v>74</v>
      </c>
      <c r="B78" s="429" t="s">
        <v>841</v>
      </c>
      <c r="C78" s="418" t="s">
        <v>836</v>
      </c>
      <c r="D78" s="419" t="s">
        <v>808</v>
      </c>
      <c r="E78" s="378" t="s">
        <v>842</v>
      </c>
      <c r="F78" s="362" t="s">
        <v>843</v>
      </c>
      <c r="G78" s="362" t="s">
        <v>430</v>
      </c>
      <c r="H78" s="378" t="s">
        <v>844</v>
      </c>
      <c r="I78" s="411" t="s">
        <v>811</v>
      </c>
      <c r="J78" s="429" t="s">
        <v>845</v>
      </c>
      <c r="K78" s="406" t="s">
        <v>788</v>
      </c>
      <c r="L78" s="362" t="s">
        <v>633</v>
      </c>
    </row>
    <row r="79" spans="1:12" ht="60" hidden="1">
      <c r="A79" s="406">
        <v>75</v>
      </c>
      <c r="B79" s="429" t="s">
        <v>846</v>
      </c>
      <c r="C79" s="418" t="s">
        <v>606</v>
      </c>
      <c r="D79" s="409" t="s">
        <v>847</v>
      </c>
      <c r="E79" s="408" t="s">
        <v>848</v>
      </c>
      <c r="F79" s="408" t="s">
        <v>849</v>
      </c>
      <c r="G79" s="362" t="s">
        <v>629</v>
      </c>
      <c r="H79" s="378" t="s">
        <v>850</v>
      </c>
      <c r="I79" s="411" t="s">
        <v>851</v>
      </c>
      <c r="J79" s="411" t="s">
        <v>852</v>
      </c>
      <c r="K79" s="406" t="s">
        <v>853</v>
      </c>
      <c r="L79" s="417" t="s">
        <v>511</v>
      </c>
    </row>
    <row r="80" spans="1:12" ht="59.25" customHeight="1">
      <c r="A80" s="406">
        <v>76</v>
      </c>
      <c r="B80" s="406" t="s">
        <v>854</v>
      </c>
      <c r="C80" s="425" t="s">
        <v>465</v>
      </c>
      <c r="D80" s="444" t="s">
        <v>660</v>
      </c>
      <c r="E80" s="445" t="s">
        <v>855</v>
      </c>
      <c r="F80" s="445" t="s">
        <v>856</v>
      </c>
      <c r="G80" s="446" t="s">
        <v>419</v>
      </c>
      <c r="H80" s="447" t="s">
        <v>857</v>
      </c>
      <c r="I80" s="412" t="s">
        <v>421</v>
      </c>
      <c r="J80" s="406" t="s">
        <v>858</v>
      </c>
      <c r="K80" s="407" t="s">
        <v>859</v>
      </c>
      <c r="L80" s="431" t="s">
        <v>424</v>
      </c>
    </row>
    <row r="81" spans="1:12" ht="90">
      <c r="A81" s="406">
        <v>77</v>
      </c>
      <c r="B81" s="406" t="s">
        <v>860</v>
      </c>
      <c r="C81" s="418" t="s">
        <v>465</v>
      </c>
      <c r="D81" s="444" t="s">
        <v>660</v>
      </c>
      <c r="E81" s="445" t="s">
        <v>861</v>
      </c>
      <c r="F81" s="445" t="s">
        <v>862</v>
      </c>
      <c r="G81" s="408" t="s">
        <v>419</v>
      </c>
      <c r="H81" s="447">
        <v>588330.06999999995</v>
      </c>
      <c r="I81" s="412" t="s">
        <v>421</v>
      </c>
      <c r="J81" s="406" t="s">
        <v>863</v>
      </c>
      <c r="K81" s="407" t="s">
        <v>859</v>
      </c>
      <c r="L81" s="431" t="s">
        <v>424</v>
      </c>
    </row>
    <row r="82" spans="1:12" ht="90" hidden="1">
      <c r="A82" s="406">
        <v>78</v>
      </c>
      <c r="B82" s="406" t="s">
        <v>864</v>
      </c>
      <c r="C82" s="425" t="s">
        <v>465</v>
      </c>
      <c r="D82" s="444" t="s">
        <v>865</v>
      </c>
      <c r="E82" s="445" t="s">
        <v>866</v>
      </c>
      <c r="F82" s="445" t="s">
        <v>867</v>
      </c>
      <c r="G82" s="446" t="s">
        <v>419</v>
      </c>
      <c r="H82" s="447">
        <v>277074.40000000002</v>
      </c>
      <c r="I82" s="412" t="s">
        <v>421</v>
      </c>
      <c r="J82" s="406" t="s">
        <v>868</v>
      </c>
      <c r="K82" s="407" t="s">
        <v>859</v>
      </c>
      <c r="L82" s="431" t="s">
        <v>424</v>
      </c>
    </row>
    <row r="83" spans="1:12" ht="60">
      <c r="A83" s="406">
        <v>79</v>
      </c>
      <c r="B83" s="411" t="s">
        <v>869</v>
      </c>
      <c r="C83" s="418" t="s">
        <v>870</v>
      </c>
      <c r="D83" s="419" t="s">
        <v>871</v>
      </c>
      <c r="E83" s="411" t="s">
        <v>872</v>
      </c>
      <c r="F83" s="411" t="s">
        <v>873</v>
      </c>
      <c r="G83" s="362" t="s">
        <v>419</v>
      </c>
      <c r="H83" s="411" t="s">
        <v>874</v>
      </c>
      <c r="I83" s="362" t="s">
        <v>449</v>
      </c>
      <c r="J83" s="406" t="s">
        <v>875</v>
      </c>
      <c r="K83" s="407" t="s">
        <v>876</v>
      </c>
      <c r="L83" s="431" t="s">
        <v>424</v>
      </c>
    </row>
    <row r="84" spans="1:12" ht="75">
      <c r="A84" s="406">
        <v>80</v>
      </c>
      <c r="B84" s="406" t="s">
        <v>877</v>
      </c>
      <c r="C84" s="418" t="s">
        <v>878</v>
      </c>
      <c r="D84" s="419" t="s">
        <v>496</v>
      </c>
      <c r="E84" s="439" t="s">
        <v>879</v>
      </c>
      <c r="F84" s="440" t="s">
        <v>880</v>
      </c>
      <c r="G84" s="362" t="s">
        <v>419</v>
      </c>
      <c r="H84" s="436" t="s">
        <v>881</v>
      </c>
      <c r="I84" s="411"/>
      <c r="J84" s="406" t="s">
        <v>863</v>
      </c>
      <c r="K84" s="406" t="s">
        <v>882</v>
      </c>
      <c r="L84" s="431" t="s">
        <v>424</v>
      </c>
    </row>
    <row r="85" spans="1:12" ht="60">
      <c r="A85" s="406">
        <v>81</v>
      </c>
      <c r="B85" s="407" t="s">
        <v>883</v>
      </c>
      <c r="C85" s="425" t="s">
        <v>495</v>
      </c>
      <c r="D85" s="448" t="s">
        <v>884</v>
      </c>
      <c r="E85" s="413" t="s">
        <v>885</v>
      </c>
      <c r="F85" s="407" t="s">
        <v>886</v>
      </c>
      <c r="G85" s="415" t="s">
        <v>439</v>
      </c>
      <c r="H85" s="449">
        <v>32898.78</v>
      </c>
      <c r="I85" s="362" t="s">
        <v>887</v>
      </c>
      <c r="J85" s="406" t="s">
        <v>863</v>
      </c>
      <c r="K85" s="423" t="s">
        <v>888</v>
      </c>
      <c r="L85" s="431" t="s">
        <v>424</v>
      </c>
    </row>
    <row r="86" spans="1:12" ht="120">
      <c r="A86" s="406">
        <v>82</v>
      </c>
      <c r="B86" s="362" t="s">
        <v>889</v>
      </c>
      <c r="C86" s="418" t="s">
        <v>606</v>
      </c>
      <c r="D86" s="414" t="s">
        <v>890</v>
      </c>
      <c r="E86" s="415" t="s">
        <v>891</v>
      </c>
      <c r="F86" s="408" t="s">
        <v>892</v>
      </c>
      <c r="G86" s="362" t="s">
        <v>629</v>
      </c>
      <c r="H86" s="378" t="s">
        <v>893</v>
      </c>
      <c r="I86" s="362" t="s">
        <v>894</v>
      </c>
      <c r="J86" s="406" t="s">
        <v>895</v>
      </c>
      <c r="K86" s="406" t="s">
        <v>896</v>
      </c>
      <c r="L86" s="417" t="s">
        <v>472</v>
      </c>
    </row>
    <row r="87" spans="1:12" ht="66" hidden="1" customHeight="1">
      <c r="A87" s="406">
        <v>83</v>
      </c>
      <c r="B87" s="423" t="s">
        <v>897</v>
      </c>
      <c r="C87" s="418" t="s">
        <v>898</v>
      </c>
      <c r="D87" s="419" t="s">
        <v>648</v>
      </c>
      <c r="E87" s="418" t="s">
        <v>899</v>
      </c>
      <c r="F87" s="446" t="s">
        <v>900</v>
      </c>
      <c r="G87" s="378" t="s">
        <v>901</v>
      </c>
      <c r="H87" s="378" t="s">
        <v>902</v>
      </c>
      <c r="I87" s="362" t="s">
        <v>903</v>
      </c>
      <c r="J87" s="406" t="s">
        <v>904</v>
      </c>
      <c r="K87" s="406" t="s">
        <v>853</v>
      </c>
      <c r="L87" s="417" t="s">
        <v>511</v>
      </c>
    </row>
    <row r="88" spans="1:12" ht="67.5" hidden="1" customHeight="1">
      <c r="A88" s="406">
        <v>84</v>
      </c>
      <c r="B88" s="423" t="s">
        <v>897</v>
      </c>
      <c r="C88" s="418" t="s">
        <v>898</v>
      </c>
      <c r="D88" s="419" t="s">
        <v>648</v>
      </c>
      <c r="E88" s="450" t="s">
        <v>905</v>
      </c>
      <c r="F88" s="446" t="s">
        <v>906</v>
      </c>
      <c r="G88" s="378" t="s">
        <v>901</v>
      </c>
      <c r="H88" s="378" t="s">
        <v>907</v>
      </c>
      <c r="I88" s="362" t="s">
        <v>903</v>
      </c>
      <c r="J88" s="406" t="s">
        <v>904</v>
      </c>
      <c r="K88" s="406" t="s">
        <v>853</v>
      </c>
      <c r="L88" s="417" t="s">
        <v>511</v>
      </c>
    </row>
    <row r="89" spans="1:12" ht="64.5" hidden="1" customHeight="1">
      <c r="A89" s="406">
        <v>85</v>
      </c>
      <c r="B89" s="423" t="s">
        <v>897</v>
      </c>
      <c r="C89" s="418" t="s">
        <v>898</v>
      </c>
      <c r="D89" s="419" t="s">
        <v>648</v>
      </c>
      <c r="E89" s="418" t="s">
        <v>908</v>
      </c>
      <c r="F89" s="446" t="s">
        <v>909</v>
      </c>
      <c r="G89" s="378" t="s">
        <v>901</v>
      </c>
      <c r="H89" s="378" t="s">
        <v>910</v>
      </c>
      <c r="I89" s="362" t="s">
        <v>903</v>
      </c>
      <c r="J89" s="406" t="s">
        <v>904</v>
      </c>
      <c r="K89" s="406" t="s">
        <v>853</v>
      </c>
      <c r="L89" s="431" t="s">
        <v>511</v>
      </c>
    </row>
    <row r="90" spans="1:12" ht="75" hidden="1">
      <c r="A90" s="406">
        <v>86</v>
      </c>
      <c r="B90" s="429" t="s">
        <v>911</v>
      </c>
      <c r="C90" s="418" t="s">
        <v>898</v>
      </c>
      <c r="D90" s="419" t="s">
        <v>648</v>
      </c>
      <c r="E90" s="418" t="s">
        <v>912</v>
      </c>
      <c r="F90" s="446" t="s">
        <v>913</v>
      </c>
      <c r="G90" s="378" t="s">
        <v>901</v>
      </c>
      <c r="H90" s="378" t="s">
        <v>914</v>
      </c>
      <c r="I90" s="362" t="s">
        <v>903</v>
      </c>
      <c r="J90" s="406" t="s">
        <v>915</v>
      </c>
      <c r="K90" s="406" t="s">
        <v>853</v>
      </c>
      <c r="L90" s="417" t="s">
        <v>511</v>
      </c>
    </row>
    <row r="91" spans="1:12" ht="75" hidden="1">
      <c r="A91" s="406">
        <v>87</v>
      </c>
      <c r="B91" s="429" t="s">
        <v>911</v>
      </c>
      <c r="C91" s="418" t="s">
        <v>898</v>
      </c>
      <c r="D91" s="419" t="s">
        <v>648</v>
      </c>
      <c r="E91" s="378" t="s">
        <v>916</v>
      </c>
      <c r="F91" s="446" t="s">
        <v>917</v>
      </c>
      <c r="G91" s="378" t="s">
        <v>901</v>
      </c>
      <c r="H91" s="378" t="s">
        <v>918</v>
      </c>
      <c r="I91" s="362" t="s">
        <v>903</v>
      </c>
      <c r="J91" s="406" t="s">
        <v>904</v>
      </c>
      <c r="K91" s="406" t="s">
        <v>853</v>
      </c>
      <c r="L91" s="417" t="s">
        <v>511</v>
      </c>
    </row>
    <row r="92" spans="1:12" ht="75" hidden="1">
      <c r="A92" s="406">
        <v>88</v>
      </c>
      <c r="B92" s="429" t="s">
        <v>911</v>
      </c>
      <c r="C92" s="418" t="s">
        <v>898</v>
      </c>
      <c r="D92" s="419" t="s">
        <v>648</v>
      </c>
      <c r="E92" s="378" t="s">
        <v>919</v>
      </c>
      <c r="F92" s="446" t="s">
        <v>920</v>
      </c>
      <c r="G92" s="378" t="s">
        <v>901</v>
      </c>
      <c r="H92" s="378" t="s">
        <v>914</v>
      </c>
      <c r="I92" s="362" t="s">
        <v>903</v>
      </c>
      <c r="J92" s="406" t="s">
        <v>904</v>
      </c>
      <c r="K92" s="406" t="s">
        <v>853</v>
      </c>
      <c r="L92" s="417" t="s">
        <v>511</v>
      </c>
    </row>
    <row r="93" spans="1:12" ht="75" hidden="1">
      <c r="A93" s="406">
        <v>89</v>
      </c>
      <c r="B93" s="362" t="s">
        <v>921</v>
      </c>
      <c r="C93" s="418" t="s">
        <v>606</v>
      </c>
      <c r="D93" s="414" t="s">
        <v>666</v>
      </c>
      <c r="E93" s="415" t="s">
        <v>922</v>
      </c>
      <c r="F93" s="408" t="s">
        <v>923</v>
      </c>
      <c r="G93" s="362" t="s">
        <v>419</v>
      </c>
      <c r="H93" s="362" t="s">
        <v>924</v>
      </c>
      <c r="I93" s="411"/>
      <c r="J93" s="406" t="s">
        <v>925</v>
      </c>
      <c r="K93" s="406" t="s">
        <v>926</v>
      </c>
      <c r="L93" s="431" t="s">
        <v>511</v>
      </c>
    </row>
    <row r="94" spans="1:12" ht="75" hidden="1">
      <c r="A94" s="406">
        <v>90</v>
      </c>
      <c r="B94" s="362" t="s">
        <v>927</v>
      </c>
      <c r="C94" s="418" t="s">
        <v>606</v>
      </c>
      <c r="D94" s="414" t="s">
        <v>928</v>
      </c>
      <c r="E94" s="415" t="s">
        <v>929</v>
      </c>
      <c r="F94" s="408" t="s">
        <v>930</v>
      </c>
      <c r="G94" s="362" t="s">
        <v>419</v>
      </c>
      <c r="H94" s="378" t="s">
        <v>931</v>
      </c>
      <c r="I94" s="411" t="s">
        <v>932</v>
      </c>
      <c r="J94" s="406" t="s">
        <v>925</v>
      </c>
      <c r="K94" s="406" t="s">
        <v>926</v>
      </c>
      <c r="L94" s="431" t="s">
        <v>511</v>
      </c>
    </row>
    <row r="95" spans="1:12" ht="75" hidden="1">
      <c r="A95" s="406">
        <v>91</v>
      </c>
      <c r="B95" s="423" t="s">
        <v>933</v>
      </c>
      <c r="C95" s="418" t="s">
        <v>606</v>
      </c>
      <c r="D95" s="414" t="s">
        <v>666</v>
      </c>
      <c r="E95" s="415" t="s">
        <v>934</v>
      </c>
      <c r="F95" s="408" t="s">
        <v>935</v>
      </c>
      <c r="G95" s="362" t="s">
        <v>419</v>
      </c>
      <c r="H95" s="378" t="s">
        <v>936</v>
      </c>
      <c r="I95" s="411"/>
      <c r="J95" s="406" t="s">
        <v>937</v>
      </c>
      <c r="K95" s="406" t="s">
        <v>926</v>
      </c>
      <c r="L95" s="431" t="s">
        <v>511</v>
      </c>
    </row>
    <row r="96" spans="1:12" ht="60" hidden="1">
      <c r="A96" s="406">
        <v>92</v>
      </c>
      <c r="B96" s="423" t="s">
        <v>938</v>
      </c>
      <c r="C96" s="418" t="s">
        <v>606</v>
      </c>
      <c r="D96" s="419" t="s">
        <v>666</v>
      </c>
      <c r="E96" s="378" t="s">
        <v>939</v>
      </c>
      <c r="F96" s="406" t="s">
        <v>940</v>
      </c>
      <c r="G96" s="362" t="s">
        <v>419</v>
      </c>
      <c r="H96" s="378" t="s">
        <v>941</v>
      </c>
      <c r="I96" s="411"/>
      <c r="J96" s="406" t="s">
        <v>863</v>
      </c>
      <c r="K96" s="406" t="s">
        <v>926</v>
      </c>
      <c r="L96" s="431" t="s">
        <v>511</v>
      </c>
    </row>
    <row r="97" spans="1:13" ht="90" hidden="1">
      <c r="A97" s="406">
        <v>93</v>
      </c>
      <c r="B97" s="423" t="s">
        <v>625</v>
      </c>
      <c r="C97" s="418" t="s">
        <v>942</v>
      </c>
      <c r="D97" s="419" t="s">
        <v>943</v>
      </c>
      <c r="E97" s="378" t="s">
        <v>944</v>
      </c>
      <c r="F97" s="362" t="s">
        <v>945</v>
      </c>
      <c r="G97" s="362" t="s">
        <v>629</v>
      </c>
      <c r="H97" s="430">
        <v>65000</v>
      </c>
      <c r="I97" s="362" t="s">
        <v>630</v>
      </c>
      <c r="J97" s="406" t="s">
        <v>946</v>
      </c>
      <c r="K97" s="407" t="s">
        <v>947</v>
      </c>
      <c r="L97" s="362" t="s">
        <v>633</v>
      </c>
    </row>
    <row r="98" spans="1:13" ht="96.75" hidden="1" customHeight="1">
      <c r="A98" s="406">
        <v>94</v>
      </c>
      <c r="B98" s="362" t="s">
        <v>948</v>
      </c>
      <c r="C98" s="418" t="s">
        <v>949</v>
      </c>
      <c r="D98" s="419" t="s">
        <v>569</v>
      </c>
      <c r="E98" s="378" t="s">
        <v>950</v>
      </c>
      <c r="F98" s="362" t="s">
        <v>951</v>
      </c>
      <c r="G98" s="378" t="s">
        <v>430</v>
      </c>
      <c r="H98" s="362" t="s">
        <v>952</v>
      </c>
      <c r="I98" s="411" t="s">
        <v>953</v>
      </c>
      <c r="J98" s="429" t="s">
        <v>954</v>
      </c>
      <c r="K98" s="406" t="s">
        <v>955</v>
      </c>
      <c r="L98" s="362" t="s">
        <v>633</v>
      </c>
    </row>
    <row r="99" spans="1:13" ht="75" hidden="1">
      <c r="A99" s="406">
        <v>95</v>
      </c>
      <c r="B99" s="362" t="s">
        <v>956</v>
      </c>
      <c r="C99" s="418" t="s">
        <v>957</v>
      </c>
      <c r="D99" s="419" t="s">
        <v>666</v>
      </c>
      <c r="E99" s="378" t="s">
        <v>958</v>
      </c>
      <c r="F99" s="362" t="s">
        <v>959</v>
      </c>
      <c r="G99" s="362" t="s">
        <v>439</v>
      </c>
      <c r="H99" s="362" t="s">
        <v>960</v>
      </c>
      <c r="I99" s="362" t="s">
        <v>961</v>
      </c>
      <c r="J99" s="429" t="s">
        <v>962</v>
      </c>
      <c r="K99" s="406" t="s">
        <v>963</v>
      </c>
      <c r="L99" s="362" t="s">
        <v>633</v>
      </c>
      <c r="M99" s="451"/>
    </row>
    <row r="100" spans="1:13" ht="75" hidden="1">
      <c r="A100" s="406">
        <v>96</v>
      </c>
      <c r="B100" s="362" t="s">
        <v>964</v>
      </c>
      <c r="C100" s="418" t="s">
        <v>942</v>
      </c>
      <c r="D100" s="419" t="s">
        <v>943</v>
      </c>
      <c r="E100" s="378" t="s">
        <v>965</v>
      </c>
      <c r="F100" s="362" t="s">
        <v>966</v>
      </c>
      <c r="G100" s="362" t="s">
        <v>967</v>
      </c>
      <c r="H100" s="362" t="s">
        <v>968</v>
      </c>
      <c r="I100" s="362" t="s">
        <v>969</v>
      </c>
      <c r="J100" s="406" t="s">
        <v>970</v>
      </c>
      <c r="K100" s="406" t="s">
        <v>971</v>
      </c>
      <c r="L100" s="362" t="s">
        <v>633</v>
      </c>
    </row>
    <row r="101" spans="1:13" ht="60" hidden="1">
      <c r="A101" s="406">
        <v>97</v>
      </c>
      <c r="B101" s="362" t="s">
        <v>972</v>
      </c>
      <c r="C101" s="418" t="s">
        <v>942</v>
      </c>
      <c r="D101" s="419" t="s">
        <v>943</v>
      </c>
      <c r="E101" s="378" t="s">
        <v>973</v>
      </c>
      <c r="F101" s="362" t="s">
        <v>974</v>
      </c>
      <c r="G101" s="362" t="s">
        <v>967</v>
      </c>
      <c r="H101" s="424">
        <v>85972.7</v>
      </c>
      <c r="I101" s="362" t="s">
        <v>969</v>
      </c>
      <c r="J101" s="406" t="s">
        <v>975</v>
      </c>
      <c r="K101" s="406" t="s">
        <v>971</v>
      </c>
      <c r="L101" s="362" t="s">
        <v>633</v>
      </c>
    </row>
    <row r="102" spans="1:13" ht="90" hidden="1">
      <c r="A102" s="406">
        <v>98</v>
      </c>
      <c r="B102" s="362" t="s">
        <v>976</v>
      </c>
      <c r="C102" s="418" t="s">
        <v>957</v>
      </c>
      <c r="D102" s="419" t="s">
        <v>666</v>
      </c>
      <c r="E102" s="378" t="s">
        <v>977</v>
      </c>
      <c r="F102" s="362" t="s">
        <v>978</v>
      </c>
      <c r="G102" s="362" t="s">
        <v>419</v>
      </c>
      <c r="H102" s="362" t="s">
        <v>979</v>
      </c>
      <c r="I102" s="411"/>
      <c r="J102" s="429" t="s">
        <v>980</v>
      </c>
      <c r="K102" s="406" t="s">
        <v>981</v>
      </c>
      <c r="L102" s="362" t="s">
        <v>633</v>
      </c>
    </row>
    <row r="103" spans="1:13" ht="75">
      <c r="A103" s="406">
        <v>99</v>
      </c>
      <c r="B103" s="362" t="s">
        <v>982</v>
      </c>
      <c r="C103" s="418" t="s">
        <v>836</v>
      </c>
      <c r="D103" s="419" t="s">
        <v>750</v>
      </c>
      <c r="E103" s="378" t="s">
        <v>983</v>
      </c>
      <c r="F103" s="362" t="s">
        <v>984</v>
      </c>
      <c r="G103" s="362" t="s">
        <v>629</v>
      </c>
      <c r="H103" s="362" t="s">
        <v>985</v>
      </c>
      <c r="I103" s="362" t="s">
        <v>986</v>
      </c>
      <c r="J103" s="406" t="s">
        <v>987</v>
      </c>
      <c r="K103" s="406"/>
      <c r="L103" s="362" t="s">
        <v>511</v>
      </c>
    </row>
    <row r="104" spans="1:13" ht="75">
      <c r="A104" s="406">
        <v>100</v>
      </c>
      <c r="B104" s="362" t="s">
        <v>988</v>
      </c>
      <c r="C104" s="418" t="s">
        <v>989</v>
      </c>
      <c r="D104" s="444" t="s">
        <v>990</v>
      </c>
      <c r="E104" s="362" t="s">
        <v>991</v>
      </c>
      <c r="F104" s="362" t="s">
        <v>992</v>
      </c>
      <c r="G104" s="362" t="s">
        <v>629</v>
      </c>
      <c r="H104" s="378" t="s">
        <v>993</v>
      </c>
      <c r="I104" s="362" t="s">
        <v>994</v>
      </c>
      <c r="J104" s="406" t="s">
        <v>995</v>
      </c>
      <c r="K104" s="429" t="s">
        <v>996</v>
      </c>
      <c r="L104" s="362" t="s">
        <v>511</v>
      </c>
    </row>
    <row r="105" spans="1:13" ht="75">
      <c r="A105" s="406">
        <v>101</v>
      </c>
      <c r="B105" s="362" t="s">
        <v>982</v>
      </c>
      <c r="C105" s="418" t="s">
        <v>836</v>
      </c>
      <c r="D105" s="444" t="s">
        <v>750</v>
      </c>
      <c r="E105" s="362" t="s">
        <v>997</v>
      </c>
      <c r="F105" s="362" t="s">
        <v>998</v>
      </c>
      <c r="G105" s="362" t="s">
        <v>629</v>
      </c>
      <c r="H105" s="362" t="s">
        <v>999</v>
      </c>
      <c r="I105" s="362" t="s">
        <v>986</v>
      </c>
      <c r="J105" s="406" t="s">
        <v>987</v>
      </c>
      <c r="K105" s="406"/>
      <c r="L105" s="362" t="s">
        <v>511</v>
      </c>
    </row>
    <row r="106" spans="1:13" ht="60" hidden="1">
      <c r="A106" s="406">
        <v>102</v>
      </c>
      <c r="B106" s="362" t="s">
        <v>1000</v>
      </c>
      <c r="C106" s="418" t="s">
        <v>827</v>
      </c>
      <c r="D106" s="444" t="s">
        <v>553</v>
      </c>
      <c r="E106" s="362" t="s">
        <v>1001</v>
      </c>
      <c r="F106" s="362" t="s">
        <v>1002</v>
      </c>
      <c r="G106" s="362" t="s">
        <v>629</v>
      </c>
      <c r="H106" s="362" t="s">
        <v>1003</v>
      </c>
      <c r="I106" s="362" t="s">
        <v>829</v>
      </c>
      <c r="J106" s="406" t="s">
        <v>835</v>
      </c>
      <c r="K106" s="429" t="s">
        <v>831</v>
      </c>
      <c r="L106" s="362" t="s">
        <v>511</v>
      </c>
    </row>
    <row r="107" spans="1:13" ht="75" hidden="1">
      <c r="A107" s="406">
        <v>103</v>
      </c>
      <c r="B107" s="423" t="s">
        <v>1004</v>
      </c>
      <c r="C107" s="418" t="s">
        <v>1005</v>
      </c>
      <c r="D107" s="419" t="s">
        <v>1006</v>
      </c>
      <c r="E107" s="378" t="s">
        <v>1007</v>
      </c>
      <c r="F107" s="362" t="s">
        <v>1008</v>
      </c>
      <c r="G107" s="362" t="s">
        <v>419</v>
      </c>
      <c r="H107" s="378" t="s">
        <v>1009</v>
      </c>
      <c r="I107" s="411" t="s">
        <v>1010</v>
      </c>
      <c r="J107" s="406" t="s">
        <v>1011</v>
      </c>
      <c r="K107" s="406" t="s">
        <v>1012</v>
      </c>
      <c r="L107" s="362" t="s">
        <v>511</v>
      </c>
    </row>
    <row r="108" spans="1:13" ht="75">
      <c r="A108" s="406">
        <v>104</v>
      </c>
      <c r="B108" s="423" t="s">
        <v>1004</v>
      </c>
      <c r="C108" s="418" t="s">
        <v>489</v>
      </c>
      <c r="D108" s="419" t="s">
        <v>1013</v>
      </c>
      <c r="E108" s="419" t="s">
        <v>1014</v>
      </c>
      <c r="F108" s="444" t="s">
        <v>1015</v>
      </c>
      <c r="G108" s="378" t="s">
        <v>439</v>
      </c>
      <c r="H108" s="362" t="s">
        <v>1016</v>
      </c>
      <c r="I108" s="362" t="s">
        <v>1017</v>
      </c>
      <c r="J108" s="406" t="s">
        <v>1018</v>
      </c>
      <c r="K108" s="406" t="s">
        <v>1012</v>
      </c>
      <c r="L108" s="406" t="s">
        <v>511</v>
      </c>
    </row>
    <row r="109" spans="1:13" ht="93" customHeight="1">
      <c r="A109" s="406">
        <v>105</v>
      </c>
      <c r="B109" s="423" t="s">
        <v>933</v>
      </c>
      <c r="C109" s="418" t="s">
        <v>474</v>
      </c>
      <c r="D109" s="414" t="s">
        <v>1019</v>
      </c>
      <c r="E109" s="415" t="s">
        <v>1020</v>
      </c>
      <c r="F109" s="408" t="s">
        <v>1021</v>
      </c>
      <c r="G109" s="378" t="s">
        <v>439</v>
      </c>
      <c r="H109" s="378" t="s">
        <v>1022</v>
      </c>
      <c r="I109" s="411" t="s">
        <v>1023</v>
      </c>
      <c r="J109" s="406" t="s">
        <v>863</v>
      </c>
      <c r="K109" s="406" t="s">
        <v>926</v>
      </c>
      <c r="L109" s="406" t="s">
        <v>511</v>
      </c>
    </row>
    <row r="110" spans="1:13" ht="60" hidden="1">
      <c r="A110" s="406">
        <v>106</v>
      </c>
      <c r="B110" s="362" t="s">
        <v>1024</v>
      </c>
      <c r="C110" s="418" t="s">
        <v>796</v>
      </c>
      <c r="D110" s="419" t="s">
        <v>490</v>
      </c>
      <c r="E110" s="452" t="s">
        <v>1025</v>
      </c>
      <c r="F110" s="453" t="s">
        <v>1026</v>
      </c>
      <c r="G110" s="362" t="s">
        <v>419</v>
      </c>
      <c r="H110" s="378" t="s">
        <v>1027</v>
      </c>
      <c r="I110" s="362" t="s">
        <v>486</v>
      </c>
      <c r="J110" s="406" t="s">
        <v>863</v>
      </c>
      <c r="K110" s="406" t="s">
        <v>1028</v>
      </c>
      <c r="L110" s="406" t="s">
        <v>511</v>
      </c>
    </row>
    <row r="111" spans="1:13" ht="75">
      <c r="A111" s="406">
        <v>107</v>
      </c>
      <c r="B111" s="423" t="s">
        <v>1029</v>
      </c>
      <c r="C111" s="418" t="s">
        <v>1005</v>
      </c>
      <c r="D111" s="419" t="s">
        <v>1030</v>
      </c>
      <c r="E111" s="452" t="s">
        <v>1031</v>
      </c>
      <c r="F111" s="453" t="s">
        <v>1032</v>
      </c>
      <c r="G111" s="362" t="s">
        <v>419</v>
      </c>
      <c r="H111" s="378" t="s">
        <v>1033</v>
      </c>
      <c r="I111" s="362" t="s">
        <v>1010</v>
      </c>
      <c r="J111" s="406" t="s">
        <v>1034</v>
      </c>
      <c r="K111" s="406" t="s">
        <v>1035</v>
      </c>
      <c r="L111" s="406" t="s">
        <v>511</v>
      </c>
    </row>
    <row r="112" spans="1:13" ht="75">
      <c r="A112" s="406">
        <v>108</v>
      </c>
      <c r="B112" s="429" t="s">
        <v>1036</v>
      </c>
      <c r="C112" s="418" t="s">
        <v>710</v>
      </c>
      <c r="D112" s="419" t="s">
        <v>1037</v>
      </c>
      <c r="E112" s="419" t="s">
        <v>1038</v>
      </c>
      <c r="F112" s="444" t="s">
        <v>1039</v>
      </c>
      <c r="G112" s="423" t="s">
        <v>439</v>
      </c>
      <c r="H112" s="362" t="s">
        <v>1040</v>
      </c>
      <c r="I112" s="411" t="s">
        <v>1023</v>
      </c>
      <c r="J112" s="406" t="s">
        <v>1041</v>
      </c>
      <c r="K112" s="406" t="s">
        <v>1042</v>
      </c>
      <c r="L112" s="406" t="s">
        <v>511</v>
      </c>
    </row>
    <row r="113" spans="1:12" ht="75">
      <c r="A113" s="406">
        <v>109</v>
      </c>
      <c r="B113" s="362" t="s">
        <v>1043</v>
      </c>
      <c r="C113" s="418" t="s">
        <v>611</v>
      </c>
      <c r="D113" s="444" t="s">
        <v>1044</v>
      </c>
      <c r="E113" s="362" t="s">
        <v>1045</v>
      </c>
      <c r="F113" s="362" t="s">
        <v>1046</v>
      </c>
      <c r="G113" s="378" t="s">
        <v>439</v>
      </c>
      <c r="H113" s="442" t="s">
        <v>1047</v>
      </c>
      <c r="I113" s="411" t="s">
        <v>1048</v>
      </c>
      <c r="J113" s="406" t="s">
        <v>1049</v>
      </c>
      <c r="K113" s="406" t="s">
        <v>1035</v>
      </c>
      <c r="L113" s="406" t="s">
        <v>511</v>
      </c>
    </row>
    <row r="114" spans="1:12" ht="60" hidden="1">
      <c r="A114" s="406">
        <v>110</v>
      </c>
      <c r="B114" s="423" t="s">
        <v>1050</v>
      </c>
      <c r="C114" s="418" t="s">
        <v>1051</v>
      </c>
      <c r="D114" s="444" t="s">
        <v>1052</v>
      </c>
      <c r="E114" s="362" t="s">
        <v>1053</v>
      </c>
      <c r="F114" s="362" t="s">
        <v>1054</v>
      </c>
      <c r="G114" s="362" t="s">
        <v>419</v>
      </c>
      <c r="H114" s="442" t="s">
        <v>1055</v>
      </c>
      <c r="I114" s="362"/>
      <c r="J114" s="406" t="s">
        <v>1056</v>
      </c>
      <c r="K114" s="406"/>
      <c r="L114" s="429" t="s">
        <v>511</v>
      </c>
    </row>
    <row r="115" spans="1:12" ht="94.5" hidden="1" customHeight="1">
      <c r="A115" s="406">
        <v>111</v>
      </c>
      <c r="B115" s="423" t="s">
        <v>1057</v>
      </c>
      <c r="C115" s="418" t="s">
        <v>1058</v>
      </c>
      <c r="D115" s="419" t="s">
        <v>1052</v>
      </c>
      <c r="E115" s="378" t="s">
        <v>1059</v>
      </c>
      <c r="F115" s="362" t="s">
        <v>1060</v>
      </c>
      <c r="G115" s="362" t="s">
        <v>629</v>
      </c>
      <c r="H115" s="362" t="s">
        <v>1061</v>
      </c>
      <c r="I115" s="411" t="s">
        <v>1062</v>
      </c>
      <c r="J115" s="406" t="s">
        <v>1063</v>
      </c>
      <c r="K115" s="429" t="s">
        <v>1064</v>
      </c>
      <c r="L115" s="406" t="s">
        <v>511</v>
      </c>
    </row>
    <row r="116" spans="1:12" ht="75" hidden="1">
      <c r="A116" s="406">
        <v>112</v>
      </c>
      <c r="B116" s="423" t="s">
        <v>1057</v>
      </c>
      <c r="C116" s="418" t="s">
        <v>1051</v>
      </c>
      <c r="D116" s="419" t="s">
        <v>1052</v>
      </c>
      <c r="E116" s="378" t="s">
        <v>1065</v>
      </c>
      <c r="F116" s="362" t="s">
        <v>1066</v>
      </c>
      <c r="G116" s="362" t="s">
        <v>419</v>
      </c>
      <c r="H116" s="378" t="s">
        <v>1067</v>
      </c>
      <c r="I116" s="411"/>
      <c r="J116" s="406" t="s">
        <v>1068</v>
      </c>
      <c r="K116" s="429" t="s">
        <v>1064</v>
      </c>
      <c r="L116" s="429" t="s">
        <v>511</v>
      </c>
    </row>
    <row r="117" spans="1:12" ht="78.75" hidden="1" customHeight="1">
      <c r="A117" s="406">
        <v>113</v>
      </c>
      <c r="B117" s="423" t="s">
        <v>1050</v>
      </c>
      <c r="C117" s="418" t="s">
        <v>1058</v>
      </c>
      <c r="D117" s="419" t="s">
        <v>1052</v>
      </c>
      <c r="E117" s="378" t="s">
        <v>1069</v>
      </c>
      <c r="F117" s="362" t="s">
        <v>1070</v>
      </c>
      <c r="G117" s="362" t="s">
        <v>629</v>
      </c>
      <c r="H117" s="442" t="s">
        <v>1071</v>
      </c>
      <c r="I117" s="411" t="s">
        <v>1062</v>
      </c>
      <c r="J117" s="406" t="s">
        <v>1056</v>
      </c>
      <c r="K117" s="406" t="s">
        <v>1072</v>
      </c>
      <c r="L117" s="406" t="s">
        <v>511</v>
      </c>
    </row>
    <row r="118" spans="1:12" ht="75" hidden="1">
      <c r="A118" s="406">
        <v>114</v>
      </c>
      <c r="B118" s="423" t="s">
        <v>1029</v>
      </c>
      <c r="C118" s="418" t="s">
        <v>611</v>
      </c>
      <c r="D118" s="419" t="s">
        <v>1006</v>
      </c>
      <c r="E118" s="378" t="s">
        <v>1073</v>
      </c>
      <c r="F118" s="362" t="s">
        <v>1074</v>
      </c>
      <c r="G118" s="362" t="s">
        <v>419</v>
      </c>
      <c r="H118" s="362" t="s">
        <v>1075</v>
      </c>
      <c r="I118" s="362" t="s">
        <v>486</v>
      </c>
      <c r="J118" s="406" t="s">
        <v>1076</v>
      </c>
      <c r="K118" s="406" t="s">
        <v>1035</v>
      </c>
      <c r="L118" s="406" t="s">
        <v>511</v>
      </c>
    </row>
    <row r="119" spans="1:12" ht="60" hidden="1">
      <c r="A119" s="406">
        <v>115</v>
      </c>
      <c r="B119" s="423" t="s">
        <v>1000</v>
      </c>
      <c r="C119" s="418" t="s">
        <v>827</v>
      </c>
      <c r="D119" s="419" t="s">
        <v>553</v>
      </c>
      <c r="E119" s="378"/>
      <c r="F119" s="362" t="s">
        <v>1077</v>
      </c>
      <c r="G119" s="378" t="s">
        <v>430</v>
      </c>
      <c r="H119" s="430">
        <v>49496</v>
      </c>
      <c r="I119" s="362" t="s">
        <v>829</v>
      </c>
      <c r="J119" s="406" t="s">
        <v>1078</v>
      </c>
      <c r="K119" s="429" t="s">
        <v>831</v>
      </c>
      <c r="L119" s="429" t="s">
        <v>511</v>
      </c>
    </row>
    <row r="120" spans="1:12" ht="90">
      <c r="A120" s="406">
        <v>116</v>
      </c>
      <c r="B120" s="429" t="s">
        <v>1079</v>
      </c>
      <c r="C120" s="418" t="s">
        <v>606</v>
      </c>
      <c r="D120" s="409" t="s">
        <v>871</v>
      </c>
      <c r="E120" s="408" t="s">
        <v>1080</v>
      </c>
      <c r="F120" s="408" t="s">
        <v>1081</v>
      </c>
      <c r="G120" s="362" t="s">
        <v>419</v>
      </c>
      <c r="H120" s="437" t="s">
        <v>1082</v>
      </c>
      <c r="I120" s="362" t="s">
        <v>1017</v>
      </c>
      <c r="J120" s="406" t="s">
        <v>1083</v>
      </c>
      <c r="K120" s="406" t="s">
        <v>1084</v>
      </c>
      <c r="L120" s="406" t="s">
        <v>511</v>
      </c>
    </row>
    <row r="121" spans="1:12" ht="94.5" customHeight="1">
      <c r="A121" s="406">
        <v>117</v>
      </c>
      <c r="B121" s="423" t="s">
        <v>1085</v>
      </c>
      <c r="C121" s="418" t="s">
        <v>503</v>
      </c>
      <c r="D121" s="419" t="s">
        <v>504</v>
      </c>
      <c r="E121" s="378" t="s">
        <v>1086</v>
      </c>
      <c r="F121" s="362" t="s">
        <v>1087</v>
      </c>
      <c r="G121" s="362" t="s">
        <v>430</v>
      </c>
      <c r="H121" s="428" t="s">
        <v>1088</v>
      </c>
      <c r="I121" s="362" t="s">
        <v>1017</v>
      </c>
      <c r="J121" s="406" t="s">
        <v>1089</v>
      </c>
      <c r="K121" s="406" t="s">
        <v>510</v>
      </c>
      <c r="L121" s="406" t="s">
        <v>511</v>
      </c>
    </row>
    <row r="122" spans="1:12" ht="75">
      <c r="A122" s="406">
        <v>118</v>
      </c>
      <c r="B122" s="429" t="s">
        <v>1090</v>
      </c>
      <c r="C122" s="418" t="s">
        <v>1091</v>
      </c>
      <c r="D122" s="444" t="s">
        <v>504</v>
      </c>
      <c r="E122" s="362" t="s">
        <v>1092</v>
      </c>
      <c r="F122" s="362" t="s">
        <v>1093</v>
      </c>
      <c r="G122" s="362" t="s">
        <v>629</v>
      </c>
      <c r="H122" s="428" t="s">
        <v>1094</v>
      </c>
      <c r="I122" s="362" t="s">
        <v>1017</v>
      </c>
      <c r="J122" s="406" t="s">
        <v>1095</v>
      </c>
      <c r="K122" s="406" t="s">
        <v>926</v>
      </c>
      <c r="L122" s="406" t="s">
        <v>511</v>
      </c>
    </row>
    <row r="123" spans="1:12" ht="75" hidden="1">
      <c r="A123" s="406">
        <v>119</v>
      </c>
      <c r="B123" s="362" t="s">
        <v>1096</v>
      </c>
      <c r="C123" s="418" t="s">
        <v>1091</v>
      </c>
      <c r="D123" s="444" t="s">
        <v>648</v>
      </c>
      <c r="E123" s="362" t="s">
        <v>1097</v>
      </c>
      <c r="F123" s="362" t="s">
        <v>1098</v>
      </c>
      <c r="G123" s="362" t="s">
        <v>419</v>
      </c>
      <c r="H123" s="362" t="s">
        <v>1099</v>
      </c>
      <c r="I123" s="362" t="s">
        <v>1017</v>
      </c>
      <c r="J123" s="406" t="s">
        <v>1100</v>
      </c>
      <c r="K123" s="406" t="s">
        <v>926</v>
      </c>
      <c r="L123" s="406" t="s">
        <v>511</v>
      </c>
    </row>
    <row r="124" spans="1:12" ht="60">
      <c r="A124" s="406">
        <v>120</v>
      </c>
      <c r="B124" s="429" t="s">
        <v>1101</v>
      </c>
      <c r="C124" s="418" t="s">
        <v>606</v>
      </c>
      <c r="D124" s="414" t="s">
        <v>518</v>
      </c>
      <c r="E124" s="415" t="s">
        <v>1102</v>
      </c>
      <c r="F124" s="408" t="s">
        <v>1103</v>
      </c>
      <c r="G124" s="378" t="s">
        <v>439</v>
      </c>
      <c r="H124" s="426">
        <v>72302</v>
      </c>
      <c r="I124" s="411" t="s">
        <v>508</v>
      </c>
      <c r="J124" s="411" t="s">
        <v>1104</v>
      </c>
      <c r="K124" s="406" t="s">
        <v>1042</v>
      </c>
      <c r="L124" s="406" t="s">
        <v>511</v>
      </c>
    </row>
    <row r="125" spans="1:12" ht="60">
      <c r="A125" s="406">
        <v>121</v>
      </c>
      <c r="B125" s="423" t="s">
        <v>938</v>
      </c>
      <c r="C125" s="418" t="s">
        <v>606</v>
      </c>
      <c r="D125" s="409" t="s">
        <v>1105</v>
      </c>
      <c r="E125" s="408" t="s">
        <v>1106</v>
      </c>
      <c r="F125" s="408" t="s">
        <v>1107</v>
      </c>
      <c r="G125" s="378" t="s">
        <v>439</v>
      </c>
      <c r="H125" s="442" t="s">
        <v>1108</v>
      </c>
      <c r="I125" s="411" t="s">
        <v>1109</v>
      </c>
      <c r="J125" s="411" t="s">
        <v>1104</v>
      </c>
      <c r="K125" s="406" t="s">
        <v>1110</v>
      </c>
      <c r="L125" s="406" t="s">
        <v>511</v>
      </c>
    </row>
    <row r="126" spans="1:12" ht="75">
      <c r="A126" s="406">
        <v>122</v>
      </c>
      <c r="B126" s="429" t="s">
        <v>1101</v>
      </c>
      <c r="C126" s="418" t="s">
        <v>1111</v>
      </c>
      <c r="D126" s="414" t="s">
        <v>504</v>
      </c>
      <c r="E126" s="415" t="s">
        <v>1112</v>
      </c>
      <c r="F126" s="408" t="s">
        <v>1113</v>
      </c>
      <c r="G126" s="362" t="s">
        <v>430</v>
      </c>
      <c r="H126" s="442" t="s">
        <v>1114</v>
      </c>
      <c r="I126" s="411" t="s">
        <v>508</v>
      </c>
      <c r="J126" s="406" t="s">
        <v>1100</v>
      </c>
      <c r="K126" s="406" t="s">
        <v>1110</v>
      </c>
      <c r="L126" s="406" t="s">
        <v>511</v>
      </c>
    </row>
    <row r="127" spans="1:12" ht="75">
      <c r="A127" s="406">
        <v>123</v>
      </c>
      <c r="B127" s="362" t="s">
        <v>927</v>
      </c>
      <c r="C127" s="418" t="s">
        <v>1115</v>
      </c>
      <c r="D127" s="419" t="s">
        <v>1116</v>
      </c>
      <c r="E127" s="378" t="s">
        <v>1117</v>
      </c>
      <c r="F127" s="362" t="s">
        <v>1118</v>
      </c>
      <c r="G127" s="378" t="s">
        <v>439</v>
      </c>
      <c r="H127" s="435">
        <v>51742</v>
      </c>
      <c r="I127" s="411" t="s">
        <v>1109</v>
      </c>
      <c r="J127" s="411" t="s">
        <v>1119</v>
      </c>
      <c r="K127" s="406" t="s">
        <v>1110</v>
      </c>
      <c r="L127" s="406" t="s">
        <v>511</v>
      </c>
    </row>
    <row r="128" spans="1:12" ht="60" hidden="1">
      <c r="A128" s="406">
        <v>124</v>
      </c>
      <c r="B128" s="411" t="s">
        <v>548</v>
      </c>
      <c r="C128" s="418" t="s">
        <v>1120</v>
      </c>
      <c r="D128" s="419" t="s">
        <v>519</v>
      </c>
      <c r="E128" s="417" t="s">
        <v>1121</v>
      </c>
      <c r="F128" s="411" t="s">
        <v>1122</v>
      </c>
      <c r="G128" s="362" t="s">
        <v>419</v>
      </c>
      <c r="H128" s="435">
        <v>12222</v>
      </c>
      <c r="I128" s="362" t="s">
        <v>449</v>
      </c>
      <c r="J128" s="411" t="s">
        <v>1123</v>
      </c>
      <c r="K128" s="417"/>
      <c r="L128" s="417" t="s">
        <v>424</v>
      </c>
    </row>
    <row r="129" spans="1:12" ht="60">
      <c r="A129" s="406">
        <v>125</v>
      </c>
      <c r="B129" s="411" t="s">
        <v>1124</v>
      </c>
      <c r="C129" s="418" t="s">
        <v>1058</v>
      </c>
      <c r="D129" s="419" t="s">
        <v>617</v>
      </c>
      <c r="E129" s="417" t="s">
        <v>1125</v>
      </c>
      <c r="F129" s="406" t="s">
        <v>1126</v>
      </c>
      <c r="G129" s="362" t="s">
        <v>419</v>
      </c>
      <c r="H129" s="411" t="s">
        <v>1127</v>
      </c>
      <c r="I129" s="411"/>
      <c r="J129" s="411" t="s">
        <v>1123</v>
      </c>
      <c r="K129" s="417"/>
      <c r="L129" s="417" t="s">
        <v>424</v>
      </c>
    </row>
    <row r="130" spans="1:12" ht="60" hidden="1">
      <c r="A130" s="406">
        <v>126</v>
      </c>
      <c r="B130" s="411" t="s">
        <v>552</v>
      </c>
      <c r="C130" s="418" t="s">
        <v>1120</v>
      </c>
      <c r="D130" s="419" t="s">
        <v>553</v>
      </c>
      <c r="E130" s="417" t="s">
        <v>1128</v>
      </c>
      <c r="F130" s="411" t="s">
        <v>1129</v>
      </c>
      <c r="G130" s="362" t="s">
        <v>419</v>
      </c>
      <c r="H130" s="435">
        <v>12923</v>
      </c>
      <c r="I130" s="411"/>
      <c r="J130" s="411" t="s">
        <v>1123</v>
      </c>
      <c r="K130" s="417"/>
      <c r="L130" s="417" t="s">
        <v>424</v>
      </c>
    </row>
    <row r="131" spans="1:12" ht="60" hidden="1">
      <c r="A131" s="406">
        <v>127</v>
      </c>
      <c r="B131" s="406" t="s">
        <v>1130</v>
      </c>
      <c r="C131" s="425" t="s">
        <v>1058</v>
      </c>
      <c r="D131" s="419" t="s">
        <v>475</v>
      </c>
      <c r="E131" s="417" t="s">
        <v>1131</v>
      </c>
      <c r="F131" s="406" t="s">
        <v>1132</v>
      </c>
      <c r="G131" s="362" t="s">
        <v>419</v>
      </c>
      <c r="H131" s="411" t="s">
        <v>1133</v>
      </c>
      <c r="I131" s="362" t="s">
        <v>449</v>
      </c>
      <c r="J131" s="406" t="s">
        <v>457</v>
      </c>
      <c r="K131" s="407"/>
      <c r="L131" s="417" t="s">
        <v>424</v>
      </c>
    </row>
    <row r="132" spans="1:12" ht="60">
      <c r="A132" s="406">
        <v>128</v>
      </c>
      <c r="B132" s="411" t="s">
        <v>1134</v>
      </c>
      <c r="C132" s="425" t="s">
        <v>1135</v>
      </c>
      <c r="D132" s="419" t="s">
        <v>871</v>
      </c>
      <c r="E132" s="417" t="s">
        <v>1136</v>
      </c>
      <c r="F132" s="411" t="s">
        <v>1137</v>
      </c>
      <c r="G132" s="362" t="s">
        <v>419</v>
      </c>
      <c r="H132" s="435">
        <v>10697</v>
      </c>
      <c r="I132" s="411"/>
      <c r="J132" s="406" t="s">
        <v>457</v>
      </c>
      <c r="K132" s="417"/>
      <c r="L132" s="417" t="s">
        <v>424</v>
      </c>
    </row>
    <row r="133" spans="1:12" ht="60" hidden="1">
      <c r="A133" s="406">
        <v>129</v>
      </c>
      <c r="B133" s="411" t="s">
        <v>1138</v>
      </c>
      <c r="C133" s="418" t="s">
        <v>1139</v>
      </c>
      <c r="D133" s="419" t="s">
        <v>445</v>
      </c>
      <c r="E133" s="417" t="s">
        <v>1140</v>
      </c>
      <c r="F133" s="411" t="s">
        <v>1141</v>
      </c>
      <c r="G133" s="362" t="s">
        <v>419</v>
      </c>
      <c r="H133" s="417" t="s">
        <v>1142</v>
      </c>
      <c r="I133" s="362" t="s">
        <v>449</v>
      </c>
      <c r="J133" s="406" t="s">
        <v>457</v>
      </c>
      <c r="K133" s="417"/>
      <c r="L133" s="417" t="s">
        <v>424</v>
      </c>
    </row>
    <row r="134" spans="1:12" ht="57.75" hidden="1" customHeight="1">
      <c r="A134" s="406">
        <v>130</v>
      </c>
      <c r="B134" s="362" t="s">
        <v>1143</v>
      </c>
      <c r="C134" s="418" t="s">
        <v>1144</v>
      </c>
      <c r="D134" s="419" t="s">
        <v>1145</v>
      </c>
      <c r="E134" s="378" t="s">
        <v>1146</v>
      </c>
      <c r="F134" s="443" t="s">
        <v>1147</v>
      </c>
      <c r="G134" s="362" t="s">
        <v>430</v>
      </c>
      <c r="H134" s="362" t="s">
        <v>1148</v>
      </c>
      <c r="I134" s="411" t="s">
        <v>1149</v>
      </c>
      <c r="J134" s="362" t="s">
        <v>1150</v>
      </c>
      <c r="K134" s="417"/>
      <c r="L134" s="362" t="s">
        <v>633</v>
      </c>
    </row>
    <row r="135" spans="1:12" ht="45">
      <c r="A135" s="406">
        <v>131</v>
      </c>
      <c r="B135" s="362" t="s">
        <v>1151</v>
      </c>
      <c r="C135" s="418" t="s">
        <v>1005</v>
      </c>
      <c r="D135" s="454" t="s">
        <v>1005</v>
      </c>
      <c r="E135" s="455" t="s">
        <v>1152</v>
      </c>
      <c r="F135" s="443" t="s">
        <v>1153</v>
      </c>
      <c r="G135" s="378" t="s">
        <v>439</v>
      </c>
      <c r="H135" s="378" t="s">
        <v>1154</v>
      </c>
      <c r="I135" s="362" t="s">
        <v>1155</v>
      </c>
      <c r="J135" s="411" t="s">
        <v>1156</v>
      </c>
      <c r="K135" s="417"/>
      <c r="L135" s="362" t="s">
        <v>633</v>
      </c>
    </row>
    <row r="136" spans="1:12" ht="69.75" hidden="1" customHeight="1">
      <c r="A136" s="406">
        <v>132</v>
      </c>
      <c r="B136" s="429" t="s">
        <v>846</v>
      </c>
      <c r="C136" s="418" t="s">
        <v>1157</v>
      </c>
      <c r="D136" s="454" t="s">
        <v>416</v>
      </c>
      <c r="E136" s="455" t="s">
        <v>1158</v>
      </c>
      <c r="F136" s="455" t="s">
        <v>1159</v>
      </c>
      <c r="G136" s="362" t="s">
        <v>419</v>
      </c>
      <c r="H136" s="378" t="s">
        <v>1160</v>
      </c>
      <c r="I136" s="411"/>
      <c r="J136" s="411" t="s">
        <v>1156</v>
      </c>
      <c r="K136" s="417"/>
      <c r="L136" s="362" t="s">
        <v>511</v>
      </c>
    </row>
    <row r="137" spans="1:12" ht="60">
      <c r="A137" s="406">
        <v>133</v>
      </c>
      <c r="B137" s="429" t="s">
        <v>846</v>
      </c>
      <c r="C137" s="418" t="s">
        <v>606</v>
      </c>
      <c r="D137" s="444" t="s">
        <v>750</v>
      </c>
      <c r="E137" s="362" t="s">
        <v>1161</v>
      </c>
      <c r="F137" s="362" t="s">
        <v>1162</v>
      </c>
      <c r="G137" s="362" t="s">
        <v>901</v>
      </c>
      <c r="H137" s="378" t="s">
        <v>1163</v>
      </c>
      <c r="I137" s="362" t="s">
        <v>986</v>
      </c>
      <c r="J137" s="411" t="s">
        <v>1156</v>
      </c>
      <c r="K137" s="417"/>
      <c r="L137" s="417" t="s">
        <v>511</v>
      </c>
    </row>
    <row r="138" spans="1:12" ht="45" hidden="1">
      <c r="A138" s="406">
        <v>134</v>
      </c>
      <c r="B138" s="406" t="s">
        <v>1164</v>
      </c>
      <c r="C138" s="418" t="s">
        <v>1165</v>
      </c>
      <c r="D138" s="419" t="s">
        <v>427</v>
      </c>
      <c r="E138" s="362" t="s">
        <v>1166</v>
      </c>
      <c r="F138" s="417"/>
      <c r="G138" s="378" t="s">
        <v>499</v>
      </c>
      <c r="H138" s="417"/>
      <c r="I138" s="411" t="s">
        <v>1167</v>
      </c>
      <c r="J138" s="378" t="s">
        <v>1168</v>
      </c>
      <c r="K138" s="417"/>
      <c r="L138" s="417" t="s">
        <v>1169</v>
      </c>
    </row>
    <row r="139" spans="1:12" ht="45">
      <c r="A139" s="406">
        <v>135</v>
      </c>
      <c r="B139" s="406" t="s">
        <v>1164</v>
      </c>
      <c r="C139" s="418" t="s">
        <v>1170</v>
      </c>
      <c r="D139" s="419" t="s">
        <v>1030</v>
      </c>
      <c r="E139" s="362" t="s">
        <v>1171</v>
      </c>
      <c r="F139" s="417"/>
      <c r="G139" s="378" t="s">
        <v>499</v>
      </c>
      <c r="H139" s="417"/>
      <c r="I139" s="411" t="s">
        <v>1172</v>
      </c>
      <c r="J139" s="378" t="s">
        <v>1168</v>
      </c>
      <c r="K139" s="417"/>
      <c r="L139" s="417" t="s">
        <v>1169</v>
      </c>
    </row>
    <row r="140" spans="1:12" ht="60" hidden="1">
      <c r="A140" s="406">
        <v>136</v>
      </c>
      <c r="B140" s="362" t="s">
        <v>1173</v>
      </c>
      <c r="C140" s="418" t="s">
        <v>898</v>
      </c>
      <c r="D140" s="419" t="s">
        <v>865</v>
      </c>
      <c r="E140" s="378" t="s">
        <v>1174</v>
      </c>
      <c r="F140" s="362" t="s">
        <v>1175</v>
      </c>
      <c r="G140" s="362" t="s">
        <v>419</v>
      </c>
      <c r="H140" s="362" t="s">
        <v>1176</v>
      </c>
      <c r="I140" s="411" t="s">
        <v>1177</v>
      </c>
      <c r="J140" s="417"/>
      <c r="K140" s="417"/>
      <c r="L140" s="417" t="s">
        <v>511</v>
      </c>
    </row>
    <row r="141" spans="1:12" ht="75" hidden="1">
      <c r="A141" s="406">
        <v>137</v>
      </c>
      <c r="B141" s="362" t="s">
        <v>1178</v>
      </c>
      <c r="C141" s="418" t="s">
        <v>898</v>
      </c>
      <c r="D141" s="419" t="s">
        <v>865</v>
      </c>
      <c r="E141" s="378" t="s">
        <v>1179</v>
      </c>
      <c r="F141" s="362" t="s">
        <v>1180</v>
      </c>
      <c r="G141" s="362" t="s">
        <v>419</v>
      </c>
      <c r="H141" s="362" t="s">
        <v>1181</v>
      </c>
      <c r="I141" s="411" t="s">
        <v>1177</v>
      </c>
      <c r="J141" s="406" t="s">
        <v>1076</v>
      </c>
      <c r="K141" s="417"/>
      <c r="L141" s="417" t="s">
        <v>511</v>
      </c>
    </row>
    <row r="142" spans="1:12" ht="60" hidden="1">
      <c r="A142" s="406">
        <v>138</v>
      </c>
      <c r="B142" s="429" t="s">
        <v>1182</v>
      </c>
      <c r="C142" s="418" t="s">
        <v>1183</v>
      </c>
      <c r="D142" s="419" t="s">
        <v>734</v>
      </c>
      <c r="E142" s="378" t="s">
        <v>1184</v>
      </c>
      <c r="F142" s="362" t="s">
        <v>1185</v>
      </c>
      <c r="G142" s="362" t="s">
        <v>901</v>
      </c>
      <c r="H142" s="437" t="s">
        <v>1186</v>
      </c>
      <c r="I142" s="411" t="s">
        <v>1177</v>
      </c>
      <c r="J142" s="406" t="s">
        <v>863</v>
      </c>
      <c r="K142" s="417"/>
      <c r="L142" s="378" t="s">
        <v>511</v>
      </c>
    </row>
    <row r="143" spans="1:12" ht="75">
      <c r="A143" s="406">
        <v>139</v>
      </c>
      <c r="B143" s="362" t="s">
        <v>1187</v>
      </c>
      <c r="C143" s="418" t="s">
        <v>1111</v>
      </c>
      <c r="D143" s="419" t="s">
        <v>660</v>
      </c>
      <c r="E143" s="378" t="s">
        <v>1188</v>
      </c>
      <c r="F143" s="362" t="s">
        <v>1189</v>
      </c>
      <c r="G143" s="362" t="s">
        <v>430</v>
      </c>
      <c r="H143" s="442" t="s">
        <v>1190</v>
      </c>
      <c r="I143" s="411" t="s">
        <v>1177</v>
      </c>
      <c r="J143" s="406" t="s">
        <v>863</v>
      </c>
      <c r="K143" s="417"/>
      <c r="L143" s="417" t="s">
        <v>511</v>
      </c>
    </row>
    <row r="144" spans="1:12" ht="75">
      <c r="A144" s="406">
        <v>140</v>
      </c>
      <c r="B144" s="429" t="s">
        <v>1191</v>
      </c>
      <c r="C144" s="418" t="s">
        <v>1111</v>
      </c>
      <c r="D144" s="419" t="s">
        <v>660</v>
      </c>
      <c r="E144" s="378" t="s">
        <v>1192</v>
      </c>
      <c r="F144" s="362" t="s">
        <v>1193</v>
      </c>
      <c r="G144" s="362" t="s">
        <v>430</v>
      </c>
      <c r="H144" s="436">
        <v>32530</v>
      </c>
      <c r="I144" s="411" t="s">
        <v>1177</v>
      </c>
      <c r="J144" s="406" t="s">
        <v>863</v>
      </c>
      <c r="K144" s="417"/>
      <c r="L144" s="417" t="s">
        <v>511</v>
      </c>
    </row>
    <row r="145" spans="1:12" ht="60">
      <c r="A145" s="406">
        <v>141</v>
      </c>
      <c r="B145" s="362" t="s">
        <v>1194</v>
      </c>
      <c r="C145" s="418" t="s">
        <v>690</v>
      </c>
      <c r="D145" s="419" t="s">
        <v>691</v>
      </c>
      <c r="E145" s="452" t="s">
        <v>1195</v>
      </c>
      <c r="F145" s="453" t="s">
        <v>1196</v>
      </c>
      <c r="G145" s="378" t="s">
        <v>439</v>
      </c>
      <c r="H145" s="436">
        <v>39801</v>
      </c>
      <c r="I145" s="411" t="s">
        <v>1177</v>
      </c>
      <c r="J145" s="406" t="s">
        <v>863</v>
      </c>
      <c r="K145" s="417"/>
      <c r="L145" s="417" t="s">
        <v>511</v>
      </c>
    </row>
    <row r="146" spans="1:12" ht="60">
      <c r="A146" s="406">
        <v>142</v>
      </c>
      <c r="B146" s="429" t="s">
        <v>1197</v>
      </c>
      <c r="C146" s="418" t="s">
        <v>690</v>
      </c>
      <c r="D146" s="419" t="s">
        <v>691</v>
      </c>
      <c r="E146" s="378" t="s">
        <v>1198</v>
      </c>
      <c r="F146" s="362" t="s">
        <v>1199</v>
      </c>
      <c r="G146" s="378" t="s">
        <v>439</v>
      </c>
      <c r="H146" s="436">
        <v>43942</v>
      </c>
      <c r="I146" s="411" t="s">
        <v>1177</v>
      </c>
      <c r="J146" s="406" t="s">
        <v>863</v>
      </c>
      <c r="K146" s="417"/>
      <c r="L146" s="417" t="s">
        <v>511</v>
      </c>
    </row>
    <row r="147" spans="1:12" ht="60" hidden="1">
      <c r="A147" s="406">
        <v>143</v>
      </c>
      <c r="B147" s="429" t="s">
        <v>1200</v>
      </c>
      <c r="C147" s="418" t="s">
        <v>1201</v>
      </c>
      <c r="D147" s="419" t="s">
        <v>847</v>
      </c>
      <c r="E147" s="378" t="s">
        <v>1202</v>
      </c>
      <c r="F147" s="362" t="s">
        <v>1203</v>
      </c>
      <c r="G147" s="378" t="s">
        <v>499</v>
      </c>
      <c r="H147" s="437" t="s">
        <v>1204</v>
      </c>
      <c r="I147" s="411"/>
      <c r="J147" s="406" t="s">
        <v>863</v>
      </c>
      <c r="K147" s="417"/>
      <c r="L147" s="378" t="s">
        <v>1205</v>
      </c>
    </row>
    <row r="148" spans="1:12" ht="60" hidden="1">
      <c r="A148" s="406">
        <v>144</v>
      </c>
      <c r="B148" s="429" t="s">
        <v>1200</v>
      </c>
      <c r="C148" s="418" t="s">
        <v>1201</v>
      </c>
      <c r="D148" s="419" t="s">
        <v>734</v>
      </c>
      <c r="E148" s="378" t="s">
        <v>1206</v>
      </c>
      <c r="F148" s="362" t="s">
        <v>1207</v>
      </c>
      <c r="G148" s="378" t="s">
        <v>499</v>
      </c>
      <c r="H148" s="437" t="s">
        <v>1208</v>
      </c>
      <c r="I148" s="411"/>
      <c r="J148" s="406" t="s">
        <v>863</v>
      </c>
      <c r="K148" s="417"/>
      <c r="L148" s="378" t="s">
        <v>1205</v>
      </c>
    </row>
    <row r="149" spans="1:12" ht="60" hidden="1">
      <c r="A149" s="406">
        <v>145</v>
      </c>
      <c r="B149" s="429" t="s">
        <v>1200</v>
      </c>
      <c r="C149" s="418" t="s">
        <v>1201</v>
      </c>
      <c r="D149" s="419" t="s">
        <v>1209</v>
      </c>
      <c r="E149" s="378" t="s">
        <v>1210</v>
      </c>
      <c r="F149" s="362" t="s">
        <v>1211</v>
      </c>
      <c r="G149" s="378" t="s">
        <v>499</v>
      </c>
      <c r="H149" s="437" t="s">
        <v>1212</v>
      </c>
      <c r="I149" s="411"/>
      <c r="J149" s="406" t="s">
        <v>1213</v>
      </c>
      <c r="K149" s="417"/>
      <c r="L149" s="378" t="s">
        <v>1205</v>
      </c>
    </row>
    <row r="150" spans="1:12" ht="75" hidden="1">
      <c r="A150" s="406">
        <v>146</v>
      </c>
      <c r="B150" s="362" t="s">
        <v>1214</v>
      </c>
      <c r="C150" s="418" t="s">
        <v>1157</v>
      </c>
      <c r="D150" s="419" t="s">
        <v>1215</v>
      </c>
      <c r="E150" s="378" t="s">
        <v>1216</v>
      </c>
      <c r="F150" s="362" t="s">
        <v>1217</v>
      </c>
      <c r="G150" s="378" t="s">
        <v>499</v>
      </c>
      <c r="H150" s="362" t="s">
        <v>1218</v>
      </c>
      <c r="I150" s="411" t="s">
        <v>1219</v>
      </c>
      <c r="J150" s="406" t="s">
        <v>1076</v>
      </c>
      <c r="K150" s="417"/>
      <c r="L150" s="431" t="s">
        <v>1205</v>
      </c>
    </row>
    <row r="151" spans="1:12" ht="60" hidden="1">
      <c r="A151" s="406">
        <v>147</v>
      </c>
      <c r="B151" s="423" t="s">
        <v>1220</v>
      </c>
      <c r="C151" s="418" t="s">
        <v>1221</v>
      </c>
      <c r="D151" s="419" t="s">
        <v>1222</v>
      </c>
      <c r="E151" s="378" t="s">
        <v>1223</v>
      </c>
      <c r="F151" s="362" t="s">
        <v>1224</v>
      </c>
      <c r="G151" s="378" t="s">
        <v>499</v>
      </c>
      <c r="H151" s="362" t="s">
        <v>1225</v>
      </c>
      <c r="I151" s="362" t="s">
        <v>1226</v>
      </c>
      <c r="J151" s="407" t="s">
        <v>523</v>
      </c>
      <c r="K151" s="417"/>
      <c r="L151" s="456" t="s">
        <v>1205</v>
      </c>
    </row>
    <row r="152" spans="1:12" ht="60" hidden="1">
      <c r="A152" s="406">
        <v>148</v>
      </c>
      <c r="B152" s="423" t="s">
        <v>1220</v>
      </c>
      <c r="C152" s="418" t="s">
        <v>1221</v>
      </c>
      <c r="D152" s="419" t="s">
        <v>1222</v>
      </c>
      <c r="E152" s="378" t="s">
        <v>1227</v>
      </c>
      <c r="F152" s="362" t="s">
        <v>1228</v>
      </c>
      <c r="G152" s="378" t="s">
        <v>499</v>
      </c>
      <c r="H152" s="362" t="s">
        <v>1229</v>
      </c>
      <c r="I152" s="362" t="s">
        <v>1226</v>
      </c>
      <c r="J152" s="407" t="s">
        <v>523</v>
      </c>
      <c r="K152" s="417"/>
      <c r="L152" s="456" t="s">
        <v>1205</v>
      </c>
    </row>
    <row r="153" spans="1:12" ht="60" hidden="1">
      <c r="A153" s="406">
        <v>149</v>
      </c>
      <c r="B153" s="423" t="s">
        <v>1220</v>
      </c>
      <c r="C153" s="418" t="s">
        <v>1221</v>
      </c>
      <c r="D153" s="419" t="s">
        <v>1222</v>
      </c>
      <c r="E153" s="378" t="s">
        <v>1230</v>
      </c>
      <c r="F153" s="362" t="s">
        <v>1231</v>
      </c>
      <c r="G153" s="378" t="s">
        <v>499</v>
      </c>
      <c r="H153" s="430">
        <v>25000</v>
      </c>
      <c r="I153" s="362" t="s">
        <v>1226</v>
      </c>
      <c r="J153" s="407" t="s">
        <v>523</v>
      </c>
      <c r="K153" s="417"/>
      <c r="L153" s="456" t="s">
        <v>1205</v>
      </c>
    </row>
    <row r="154" spans="1:12" ht="60" hidden="1">
      <c r="A154" s="406">
        <v>150</v>
      </c>
      <c r="B154" s="423" t="s">
        <v>1220</v>
      </c>
      <c r="C154" s="418" t="s">
        <v>1221</v>
      </c>
      <c r="D154" s="419" t="s">
        <v>1222</v>
      </c>
      <c r="E154" s="378" t="s">
        <v>1232</v>
      </c>
      <c r="F154" s="362" t="s">
        <v>1233</v>
      </c>
      <c r="G154" s="378" t="s">
        <v>499</v>
      </c>
      <c r="H154" s="457" t="s">
        <v>1234</v>
      </c>
      <c r="I154" s="362" t="s">
        <v>1226</v>
      </c>
      <c r="J154" s="407" t="s">
        <v>523</v>
      </c>
      <c r="K154" s="417"/>
      <c r="L154" s="431" t="s">
        <v>1205</v>
      </c>
    </row>
    <row r="155" spans="1:12" ht="90" hidden="1">
      <c r="A155" s="406">
        <v>151</v>
      </c>
      <c r="B155" s="362" t="s">
        <v>1235</v>
      </c>
      <c r="C155" s="425" t="s">
        <v>1236</v>
      </c>
      <c r="D155" s="419" t="s">
        <v>1237</v>
      </c>
      <c r="E155" s="378" t="s">
        <v>1238</v>
      </c>
      <c r="F155" s="362" t="s">
        <v>1239</v>
      </c>
      <c r="G155" s="362" t="s">
        <v>419</v>
      </c>
      <c r="H155" s="435">
        <v>54154</v>
      </c>
      <c r="I155" s="411" t="s">
        <v>1240</v>
      </c>
      <c r="J155" s="406" t="s">
        <v>1241</v>
      </c>
      <c r="K155" s="417"/>
      <c r="L155" s="417" t="s">
        <v>511</v>
      </c>
    </row>
    <row r="156" spans="1:12" ht="60" hidden="1">
      <c r="A156" s="417">
        <v>152</v>
      </c>
      <c r="B156" s="458" t="s">
        <v>1242</v>
      </c>
      <c r="C156" s="418" t="s">
        <v>1116</v>
      </c>
      <c r="D156" s="419" t="s">
        <v>553</v>
      </c>
      <c r="E156" s="378" t="s">
        <v>1243</v>
      </c>
      <c r="F156" s="362" t="s">
        <v>1244</v>
      </c>
      <c r="G156" s="362" t="s">
        <v>419</v>
      </c>
      <c r="H156" s="437" t="s">
        <v>1245</v>
      </c>
      <c r="I156" s="411" t="s">
        <v>1246</v>
      </c>
      <c r="J156" s="407" t="s">
        <v>1247</v>
      </c>
      <c r="K156" s="417"/>
      <c r="L156" s="431" t="s">
        <v>511</v>
      </c>
    </row>
    <row r="157" spans="1:12" ht="60" hidden="1">
      <c r="A157" s="417">
        <v>153</v>
      </c>
      <c r="B157" s="423" t="s">
        <v>897</v>
      </c>
      <c r="C157" s="418" t="s">
        <v>1116</v>
      </c>
      <c r="D157" s="419" t="s">
        <v>553</v>
      </c>
      <c r="E157" s="378" t="s">
        <v>1248</v>
      </c>
      <c r="F157" s="362" t="s">
        <v>1249</v>
      </c>
      <c r="G157" s="362" t="s">
        <v>419</v>
      </c>
      <c r="H157" s="378" t="s">
        <v>1250</v>
      </c>
      <c r="I157" s="411" t="s">
        <v>1246</v>
      </c>
      <c r="J157" s="407" t="s">
        <v>1247</v>
      </c>
      <c r="K157" s="417"/>
      <c r="L157" s="431" t="s">
        <v>511</v>
      </c>
    </row>
    <row r="158" spans="1:12" ht="60" hidden="1">
      <c r="A158" s="459">
        <v>154</v>
      </c>
      <c r="B158" s="406" t="s">
        <v>1251</v>
      </c>
      <c r="C158" s="460" t="s">
        <v>1252</v>
      </c>
      <c r="D158" s="461" t="s">
        <v>865</v>
      </c>
      <c r="E158" s="459" t="s">
        <v>1253</v>
      </c>
      <c r="F158" s="411" t="s">
        <v>1254</v>
      </c>
      <c r="G158" s="379" t="s">
        <v>419</v>
      </c>
      <c r="H158" s="462">
        <v>1834873.29</v>
      </c>
      <c r="I158" s="463"/>
      <c r="J158" s="406" t="s">
        <v>1034</v>
      </c>
      <c r="K158" s="417"/>
      <c r="L158" s="464" t="s">
        <v>424</v>
      </c>
    </row>
    <row r="159" spans="1:12" ht="90">
      <c r="A159" s="417">
        <v>155</v>
      </c>
      <c r="B159" s="429" t="s">
        <v>1255</v>
      </c>
      <c r="C159" s="418" t="s">
        <v>1256</v>
      </c>
      <c r="D159" s="419" t="s">
        <v>871</v>
      </c>
      <c r="E159" s="378" t="s">
        <v>1257</v>
      </c>
      <c r="F159" s="362" t="s">
        <v>1258</v>
      </c>
      <c r="G159" s="362" t="s">
        <v>419</v>
      </c>
      <c r="H159" s="437" t="s">
        <v>1259</v>
      </c>
      <c r="I159" s="362" t="s">
        <v>1017</v>
      </c>
      <c r="J159" s="465" t="s">
        <v>1260</v>
      </c>
      <c r="K159" s="466"/>
      <c r="L159" s="417" t="s">
        <v>511</v>
      </c>
    </row>
    <row r="160" spans="1:12" ht="93.75" hidden="1" customHeight="1">
      <c r="A160" s="417">
        <v>156</v>
      </c>
      <c r="B160" s="429" t="s">
        <v>1079</v>
      </c>
      <c r="C160" s="418" t="s">
        <v>1105</v>
      </c>
      <c r="D160" s="419" t="s">
        <v>865</v>
      </c>
      <c r="E160" s="378" t="s">
        <v>1261</v>
      </c>
      <c r="F160" s="362" t="s">
        <v>1262</v>
      </c>
      <c r="G160" s="362" t="s">
        <v>419</v>
      </c>
      <c r="H160" s="378" t="s">
        <v>1263</v>
      </c>
      <c r="I160" s="411" t="s">
        <v>1240</v>
      </c>
      <c r="J160" s="406" t="s">
        <v>1264</v>
      </c>
      <c r="K160" s="417"/>
      <c r="L160" s="417" t="s">
        <v>511</v>
      </c>
    </row>
    <row r="161" spans="1:12" ht="90">
      <c r="A161" s="459">
        <v>157</v>
      </c>
      <c r="B161" s="429" t="s">
        <v>1265</v>
      </c>
      <c r="C161" s="418" t="s">
        <v>606</v>
      </c>
      <c r="D161" s="419" t="s">
        <v>871</v>
      </c>
      <c r="E161" s="378" t="s">
        <v>1266</v>
      </c>
      <c r="F161" s="362" t="s">
        <v>1267</v>
      </c>
      <c r="G161" s="362" t="s">
        <v>419</v>
      </c>
      <c r="H161" s="437" t="s">
        <v>1268</v>
      </c>
      <c r="I161" s="362" t="s">
        <v>1269</v>
      </c>
      <c r="J161" s="406" t="s">
        <v>1270</v>
      </c>
      <c r="K161" s="417"/>
      <c r="L161" s="417" t="s">
        <v>511</v>
      </c>
    </row>
    <row r="162" spans="1:12" ht="87.75" hidden="1" customHeight="1">
      <c r="A162" s="417">
        <v>158</v>
      </c>
      <c r="B162" s="429" t="s">
        <v>1079</v>
      </c>
      <c r="C162" s="418" t="s">
        <v>1271</v>
      </c>
      <c r="D162" s="419" t="s">
        <v>714</v>
      </c>
      <c r="E162" s="378" t="s">
        <v>1272</v>
      </c>
      <c r="F162" s="362" t="s">
        <v>1273</v>
      </c>
      <c r="G162" s="362" t="s">
        <v>499</v>
      </c>
      <c r="H162" s="437" t="s">
        <v>1274</v>
      </c>
      <c r="I162" s="362" t="s">
        <v>1275</v>
      </c>
      <c r="J162" s="406" t="s">
        <v>1276</v>
      </c>
      <c r="K162" s="362" t="s">
        <v>1084</v>
      </c>
      <c r="L162" s="378" t="s">
        <v>511</v>
      </c>
    </row>
    <row r="163" spans="1:12" ht="75">
      <c r="A163" s="417">
        <v>159</v>
      </c>
      <c r="B163" s="362" t="s">
        <v>1194</v>
      </c>
      <c r="C163" s="418" t="s">
        <v>1277</v>
      </c>
      <c r="D163" s="419" t="s">
        <v>1278</v>
      </c>
      <c r="E163" s="378" t="s">
        <v>1279</v>
      </c>
      <c r="F163" s="362" t="s">
        <v>1280</v>
      </c>
      <c r="G163" s="362" t="s">
        <v>629</v>
      </c>
      <c r="H163" s="424">
        <v>83532.78</v>
      </c>
      <c r="I163" s="411"/>
      <c r="J163" s="407" t="s">
        <v>1281</v>
      </c>
      <c r="K163" s="417"/>
      <c r="L163" s="431" t="s">
        <v>511</v>
      </c>
    </row>
    <row r="164" spans="1:12" ht="75" hidden="1">
      <c r="A164" s="417">
        <v>160</v>
      </c>
      <c r="B164" s="362" t="s">
        <v>1282</v>
      </c>
      <c r="C164" s="418" t="s">
        <v>1283</v>
      </c>
      <c r="D164" s="419" t="s">
        <v>1284</v>
      </c>
      <c r="E164" s="378" t="s">
        <v>1285</v>
      </c>
      <c r="F164" s="362" t="s">
        <v>1286</v>
      </c>
      <c r="G164" s="362" t="s">
        <v>419</v>
      </c>
      <c r="H164" s="417" t="s">
        <v>1287</v>
      </c>
      <c r="I164" s="411" t="s">
        <v>994</v>
      </c>
      <c r="J164" s="362" t="s">
        <v>1288</v>
      </c>
      <c r="K164" s="417"/>
      <c r="L164" s="431" t="s">
        <v>472</v>
      </c>
    </row>
    <row r="165" spans="1:12" ht="62.25" hidden="1" customHeight="1">
      <c r="A165" s="417">
        <v>161</v>
      </c>
      <c r="B165" s="362" t="s">
        <v>1289</v>
      </c>
      <c r="C165" s="418" t="s">
        <v>1283</v>
      </c>
      <c r="D165" s="419" t="s">
        <v>1290</v>
      </c>
      <c r="E165" s="378" t="s">
        <v>1291</v>
      </c>
      <c r="F165" s="362" t="s">
        <v>1292</v>
      </c>
      <c r="G165" s="362" t="s">
        <v>419</v>
      </c>
      <c r="H165" s="417" t="s">
        <v>1293</v>
      </c>
      <c r="I165" s="411" t="s">
        <v>994</v>
      </c>
      <c r="J165" s="411" t="s">
        <v>1294</v>
      </c>
      <c r="K165" s="417"/>
      <c r="L165" s="431" t="s">
        <v>472</v>
      </c>
    </row>
    <row r="166" spans="1:12" ht="60" hidden="1">
      <c r="A166" s="417">
        <v>162</v>
      </c>
      <c r="B166" s="362" t="s">
        <v>1295</v>
      </c>
      <c r="C166" s="418" t="s">
        <v>445</v>
      </c>
      <c r="D166" s="419" t="s">
        <v>445</v>
      </c>
      <c r="E166" s="378" t="s">
        <v>1296</v>
      </c>
      <c r="F166" s="406" t="s">
        <v>1297</v>
      </c>
      <c r="G166" s="378" t="s">
        <v>499</v>
      </c>
      <c r="H166" s="378" t="s">
        <v>1298</v>
      </c>
      <c r="I166" s="411" t="s">
        <v>994</v>
      </c>
      <c r="J166" s="407" t="s">
        <v>1299</v>
      </c>
      <c r="K166" s="467" t="s">
        <v>1300</v>
      </c>
      <c r="L166" s="431" t="s">
        <v>633</v>
      </c>
    </row>
    <row r="167" spans="1:12" ht="60">
      <c r="A167" s="417">
        <v>163</v>
      </c>
      <c r="B167" s="429" t="s">
        <v>1182</v>
      </c>
      <c r="C167" s="418" t="s">
        <v>1301</v>
      </c>
      <c r="D167" s="419" t="s">
        <v>660</v>
      </c>
      <c r="E167" s="378" t="s">
        <v>1302</v>
      </c>
      <c r="F167" s="362" t="s">
        <v>1303</v>
      </c>
      <c r="G167" s="362" t="s">
        <v>430</v>
      </c>
      <c r="H167" s="378" t="s">
        <v>1304</v>
      </c>
      <c r="I167" s="362" t="s">
        <v>1305</v>
      </c>
      <c r="J167" s="407" t="s">
        <v>1247</v>
      </c>
      <c r="K167" s="417"/>
      <c r="L167" s="456" t="s">
        <v>511</v>
      </c>
    </row>
    <row r="168" spans="1:12" ht="60" hidden="1">
      <c r="A168" s="468">
        <v>164</v>
      </c>
      <c r="B168" s="362" t="s">
        <v>1306</v>
      </c>
      <c r="C168" s="418" t="s">
        <v>1307</v>
      </c>
      <c r="D168" s="419" t="s">
        <v>1237</v>
      </c>
      <c r="E168" s="378" t="s">
        <v>1308</v>
      </c>
      <c r="F168" s="362" t="s">
        <v>1309</v>
      </c>
      <c r="G168" s="362" t="s">
        <v>419</v>
      </c>
      <c r="H168" s="362" t="s">
        <v>1310</v>
      </c>
      <c r="I168" s="411"/>
      <c r="J168" s="407" t="s">
        <v>1247</v>
      </c>
      <c r="K168" s="406" t="s">
        <v>1311</v>
      </c>
      <c r="L168" s="456" t="s">
        <v>1312</v>
      </c>
    </row>
    <row r="169" spans="1:12" ht="60">
      <c r="A169" s="468">
        <v>165</v>
      </c>
      <c r="B169" s="411" t="s">
        <v>1313</v>
      </c>
      <c r="C169" s="418" t="s">
        <v>1314</v>
      </c>
      <c r="D169" s="419" t="s">
        <v>1315</v>
      </c>
      <c r="E169" s="378" t="s">
        <v>1316</v>
      </c>
      <c r="F169" s="411" t="s">
        <v>1317</v>
      </c>
      <c r="G169" s="362" t="s">
        <v>629</v>
      </c>
      <c r="H169" s="362" t="s">
        <v>1318</v>
      </c>
      <c r="I169" s="411" t="s">
        <v>1319</v>
      </c>
      <c r="J169" s="407" t="s">
        <v>1247</v>
      </c>
      <c r="K169" s="406" t="s">
        <v>1311</v>
      </c>
      <c r="L169" s="431" t="s">
        <v>1312</v>
      </c>
    </row>
    <row r="170" spans="1:12" ht="59.25" customHeight="1">
      <c r="A170" s="469">
        <v>166</v>
      </c>
      <c r="B170" s="411" t="s">
        <v>1313</v>
      </c>
      <c r="C170" s="418" t="s">
        <v>1314</v>
      </c>
      <c r="D170" s="419" t="s">
        <v>1315</v>
      </c>
      <c r="E170" s="378" t="s">
        <v>1320</v>
      </c>
      <c r="F170" s="411" t="s">
        <v>1321</v>
      </c>
      <c r="G170" s="378" t="s">
        <v>629</v>
      </c>
      <c r="H170" s="411" t="s">
        <v>1322</v>
      </c>
      <c r="I170" s="411" t="s">
        <v>1319</v>
      </c>
      <c r="J170" s="407" t="s">
        <v>1247</v>
      </c>
      <c r="K170" s="406" t="s">
        <v>1311</v>
      </c>
      <c r="L170" s="431" t="s">
        <v>1312</v>
      </c>
    </row>
    <row r="171" spans="1:12" ht="60">
      <c r="A171" s="469">
        <v>167</v>
      </c>
      <c r="B171" s="411" t="s">
        <v>1313</v>
      </c>
      <c r="C171" s="418" t="s">
        <v>1314</v>
      </c>
      <c r="D171" s="419" t="s">
        <v>1315</v>
      </c>
      <c r="E171" s="378" t="s">
        <v>1323</v>
      </c>
      <c r="F171" s="411" t="s">
        <v>1324</v>
      </c>
      <c r="G171" s="378" t="s">
        <v>629</v>
      </c>
      <c r="H171" s="411" t="s">
        <v>1325</v>
      </c>
      <c r="I171" s="411" t="s">
        <v>1319</v>
      </c>
      <c r="J171" s="407" t="s">
        <v>1247</v>
      </c>
      <c r="K171" s="406" t="s">
        <v>1311</v>
      </c>
      <c r="L171" s="431" t="s">
        <v>1312</v>
      </c>
    </row>
    <row r="172" spans="1:12" ht="60">
      <c r="A172" s="469">
        <v>168</v>
      </c>
      <c r="B172" s="411" t="s">
        <v>1313</v>
      </c>
      <c r="C172" s="418" t="s">
        <v>1314</v>
      </c>
      <c r="D172" s="419" t="s">
        <v>1315</v>
      </c>
      <c r="E172" s="378" t="s">
        <v>1326</v>
      </c>
      <c r="F172" s="411" t="s">
        <v>1327</v>
      </c>
      <c r="G172" s="378" t="s">
        <v>629</v>
      </c>
      <c r="H172" s="411" t="s">
        <v>1328</v>
      </c>
      <c r="I172" s="411" t="s">
        <v>1319</v>
      </c>
      <c r="J172" s="407" t="s">
        <v>1247</v>
      </c>
      <c r="K172" s="406" t="s">
        <v>1311</v>
      </c>
      <c r="L172" s="431" t="s">
        <v>1312</v>
      </c>
    </row>
    <row r="173" spans="1:12" ht="90" hidden="1">
      <c r="A173" s="469">
        <v>169</v>
      </c>
      <c r="B173" s="411" t="s">
        <v>1329</v>
      </c>
      <c r="C173" s="425" t="s">
        <v>1236</v>
      </c>
      <c r="D173" s="419" t="s">
        <v>1237</v>
      </c>
      <c r="E173" s="378" t="s">
        <v>1330</v>
      </c>
      <c r="F173" s="362" t="s">
        <v>1331</v>
      </c>
      <c r="G173" s="362" t="s">
        <v>419</v>
      </c>
      <c r="H173" s="435">
        <v>24369</v>
      </c>
      <c r="I173" s="411" t="s">
        <v>1332</v>
      </c>
      <c r="J173" s="429" t="s">
        <v>1333</v>
      </c>
      <c r="K173" s="417"/>
      <c r="L173" s="431" t="s">
        <v>511</v>
      </c>
    </row>
    <row r="174" spans="1:12" ht="75">
      <c r="A174" s="469">
        <v>170</v>
      </c>
      <c r="B174" s="463" t="s">
        <v>1334</v>
      </c>
      <c r="C174" s="470" t="s">
        <v>836</v>
      </c>
      <c r="D174" s="461" t="s">
        <v>504</v>
      </c>
      <c r="E174" s="459" t="s">
        <v>1335</v>
      </c>
      <c r="F174" s="362" t="s">
        <v>1336</v>
      </c>
      <c r="G174" s="379" t="s">
        <v>430</v>
      </c>
      <c r="H174" s="459" t="s">
        <v>1337</v>
      </c>
      <c r="I174" s="463" t="s">
        <v>1010</v>
      </c>
      <c r="J174" s="471" t="s">
        <v>1247</v>
      </c>
      <c r="K174" s="463" t="s">
        <v>926</v>
      </c>
      <c r="L174" s="464" t="s">
        <v>511</v>
      </c>
    </row>
    <row r="175" spans="1:12" ht="75">
      <c r="A175" s="417">
        <v>171</v>
      </c>
      <c r="B175" s="362" t="s">
        <v>1043</v>
      </c>
      <c r="C175" s="418" t="s">
        <v>1005</v>
      </c>
      <c r="D175" s="419" t="s">
        <v>1338</v>
      </c>
      <c r="E175" s="378" t="s">
        <v>1339</v>
      </c>
      <c r="F175" s="362" t="s">
        <v>1340</v>
      </c>
      <c r="G175" s="362" t="s">
        <v>439</v>
      </c>
      <c r="H175" s="472">
        <v>63745.2</v>
      </c>
      <c r="I175" s="411" t="s">
        <v>1010</v>
      </c>
      <c r="J175" s="406" t="s">
        <v>1341</v>
      </c>
      <c r="K175" s="362" t="s">
        <v>1342</v>
      </c>
      <c r="L175" s="431" t="s">
        <v>511</v>
      </c>
    </row>
    <row r="176" spans="1:12" ht="75">
      <c r="A176" s="417">
        <v>172</v>
      </c>
      <c r="B176" s="362" t="s">
        <v>1043</v>
      </c>
      <c r="C176" s="418" t="s">
        <v>1343</v>
      </c>
      <c r="D176" s="419" t="s">
        <v>1338</v>
      </c>
      <c r="E176" s="378" t="s">
        <v>1344</v>
      </c>
      <c r="F176" s="362" t="s">
        <v>1345</v>
      </c>
      <c r="G176" s="362" t="s">
        <v>439</v>
      </c>
      <c r="H176" s="472">
        <v>63745.2</v>
      </c>
      <c r="I176" s="362" t="s">
        <v>1346</v>
      </c>
      <c r="J176" s="406" t="s">
        <v>1341</v>
      </c>
      <c r="K176" s="362" t="s">
        <v>1342</v>
      </c>
      <c r="L176" s="431" t="s">
        <v>511</v>
      </c>
    </row>
    <row r="177" spans="1:12" ht="60">
      <c r="A177" s="417">
        <v>172</v>
      </c>
      <c r="B177" s="362" t="s">
        <v>1347</v>
      </c>
      <c r="C177" s="418" t="s">
        <v>1348</v>
      </c>
      <c r="D177" s="419" t="s">
        <v>1278</v>
      </c>
      <c r="E177" s="456" t="s">
        <v>1349</v>
      </c>
      <c r="F177" s="362" t="s">
        <v>1350</v>
      </c>
      <c r="G177" s="456" t="s">
        <v>901</v>
      </c>
      <c r="H177" s="378" t="s">
        <v>1351</v>
      </c>
      <c r="I177" s="362" t="s">
        <v>994</v>
      </c>
      <c r="J177" s="407" t="s">
        <v>1247</v>
      </c>
      <c r="K177" s="362" t="s">
        <v>1028</v>
      </c>
      <c r="L177" s="431" t="s">
        <v>511</v>
      </c>
    </row>
    <row r="178" spans="1:12" ht="60" hidden="1" customHeight="1">
      <c r="A178" s="417">
        <v>173</v>
      </c>
      <c r="B178" s="362" t="s">
        <v>1352</v>
      </c>
      <c r="C178" s="418" t="s">
        <v>1209</v>
      </c>
      <c r="D178" s="419" t="s">
        <v>1209</v>
      </c>
      <c r="E178" s="456" t="s">
        <v>1353</v>
      </c>
      <c r="F178" s="378">
        <v>822534</v>
      </c>
      <c r="G178" s="456" t="s">
        <v>499</v>
      </c>
      <c r="H178" s="378" t="s">
        <v>1287</v>
      </c>
      <c r="I178" s="473" t="s">
        <v>1354</v>
      </c>
      <c r="J178" s="417" t="s">
        <v>1355</v>
      </c>
      <c r="K178" s="362" t="s">
        <v>1356</v>
      </c>
      <c r="L178" s="431" t="s">
        <v>1357</v>
      </c>
    </row>
    <row r="179" spans="1:12" ht="75" hidden="1">
      <c r="A179" s="417">
        <v>174</v>
      </c>
      <c r="B179" s="362" t="s">
        <v>1352</v>
      </c>
      <c r="C179" s="418" t="s">
        <v>1209</v>
      </c>
      <c r="D179" s="419" t="s">
        <v>1209</v>
      </c>
      <c r="E179" s="456" t="s">
        <v>1358</v>
      </c>
      <c r="F179" s="378">
        <v>13</v>
      </c>
      <c r="G179" s="456" t="s">
        <v>499</v>
      </c>
      <c r="H179" s="378" t="s">
        <v>1154</v>
      </c>
      <c r="I179" s="473" t="s">
        <v>1354</v>
      </c>
      <c r="J179" s="417" t="s">
        <v>1359</v>
      </c>
      <c r="K179" s="362" t="s">
        <v>1356</v>
      </c>
      <c r="L179" s="431" t="s">
        <v>1357</v>
      </c>
    </row>
    <row r="180" spans="1:12" ht="75" hidden="1">
      <c r="A180" s="417">
        <v>175</v>
      </c>
      <c r="B180" s="362" t="s">
        <v>1352</v>
      </c>
      <c r="C180" s="418" t="s">
        <v>1209</v>
      </c>
      <c r="D180" s="419" t="s">
        <v>1209</v>
      </c>
      <c r="E180" s="456" t="s">
        <v>1360</v>
      </c>
      <c r="F180" s="378">
        <v>11</v>
      </c>
      <c r="G180" s="456" t="s">
        <v>499</v>
      </c>
      <c r="H180" s="378" t="s">
        <v>1154</v>
      </c>
      <c r="I180" s="473" t="s">
        <v>1354</v>
      </c>
      <c r="J180" s="417" t="s">
        <v>1359</v>
      </c>
      <c r="K180" s="362" t="s">
        <v>1356</v>
      </c>
      <c r="L180" s="431" t="s">
        <v>1357</v>
      </c>
    </row>
    <row r="181" spans="1:12" ht="75" hidden="1">
      <c r="A181" s="417">
        <v>176</v>
      </c>
      <c r="B181" s="362" t="s">
        <v>1352</v>
      </c>
      <c r="C181" s="418" t="s">
        <v>1209</v>
      </c>
      <c r="D181" s="419" t="s">
        <v>1209</v>
      </c>
      <c r="E181" s="456" t="s">
        <v>1361</v>
      </c>
      <c r="F181" s="378">
        <v>822535</v>
      </c>
      <c r="G181" s="456" t="s">
        <v>499</v>
      </c>
      <c r="H181" s="378" t="s">
        <v>1287</v>
      </c>
      <c r="I181" s="473" t="s">
        <v>1354</v>
      </c>
      <c r="J181" s="417" t="s">
        <v>1359</v>
      </c>
      <c r="K181" s="362" t="s">
        <v>1356</v>
      </c>
      <c r="L181" s="431" t="s">
        <v>1357</v>
      </c>
    </row>
    <row r="182" spans="1:12" ht="75" hidden="1">
      <c r="A182" s="417">
        <v>177</v>
      </c>
      <c r="B182" s="362" t="s">
        <v>1352</v>
      </c>
      <c r="C182" s="418" t="s">
        <v>1209</v>
      </c>
      <c r="D182" s="419" t="s">
        <v>1209</v>
      </c>
      <c r="E182" s="456" t="s">
        <v>1362</v>
      </c>
      <c r="F182" s="378">
        <v>12</v>
      </c>
      <c r="G182" s="456" t="s">
        <v>499</v>
      </c>
      <c r="H182" s="378" t="s">
        <v>1154</v>
      </c>
      <c r="I182" s="473" t="s">
        <v>1354</v>
      </c>
      <c r="J182" s="417" t="s">
        <v>1359</v>
      </c>
      <c r="K182" s="362" t="s">
        <v>1356</v>
      </c>
      <c r="L182" s="431" t="s">
        <v>1357</v>
      </c>
    </row>
    <row r="183" spans="1:12" ht="75" hidden="1">
      <c r="A183" s="417">
        <v>178</v>
      </c>
      <c r="B183" s="362" t="s">
        <v>1352</v>
      </c>
      <c r="C183" s="418" t="s">
        <v>1209</v>
      </c>
      <c r="D183" s="419" t="s">
        <v>1209</v>
      </c>
      <c r="E183" s="456" t="s">
        <v>1363</v>
      </c>
      <c r="F183" s="378">
        <v>15</v>
      </c>
      <c r="G183" s="456" t="s">
        <v>499</v>
      </c>
      <c r="H183" s="378" t="s">
        <v>1154</v>
      </c>
      <c r="I183" s="473" t="s">
        <v>1354</v>
      </c>
      <c r="J183" s="417" t="s">
        <v>1359</v>
      </c>
      <c r="K183" s="362" t="s">
        <v>1356</v>
      </c>
      <c r="L183" s="431" t="s">
        <v>1357</v>
      </c>
    </row>
    <row r="184" spans="1:12" ht="60">
      <c r="A184" s="417">
        <v>179</v>
      </c>
      <c r="B184" s="378" t="s">
        <v>1364</v>
      </c>
      <c r="C184" s="418" t="s">
        <v>1365</v>
      </c>
      <c r="D184" s="419" t="s">
        <v>1366</v>
      </c>
      <c r="E184" s="429" t="s">
        <v>1367</v>
      </c>
      <c r="F184" s="378"/>
      <c r="G184" s="456" t="s">
        <v>430</v>
      </c>
      <c r="H184" s="378"/>
      <c r="I184" s="362" t="s">
        <v>1368</v>
      </c>
      <c r="J184" s="407" t="s">
        <v>1369</v>
      </c>
      <c r="K184" s="378"/>
      <c r="L184" s="431" t="s">
        <v>1370</v>
      </c>
    </row>
    <row r="185" spans="1:12" ht="60" hidden="1">
      <c r="A185" s="417">
        <v>180</v>
      </c>
      <c r="B185" s="362" t="s">
        <v>1306</v>
      </c>
      <c r="C185" s="418" t="s">
        <v>1307</v>
      </c>
      <c r="D185" s="419" t="s">
        <v>1237</v>
      </c>
      <c r="E185" s="378" t="s">
        <v>1371</v>
      </c>
      <c r="F185" s="362" t="s">
        <v>1372</v>
      </c>
      <c r="G185" s="362" t="s">
        <v>419</v>
      </c>
      <c r="H185" s="362" t="s">
        <v>1373</v>
      </c>
      <c r="I185" s="378"/>
      <c r="J185" s="407" t="s">
        <v>1247</v>
      </c>
      <c r="K185" s="378"/>
      <c r="L185" s="431" t="s">
        <v>1312</v>
      </c>
    </row>
    <row r="186" spans="1:12" ht="75" hidden="1">
      <c r="A186" s="417">
        <v>181</v>
      </c>
      <c r="B186" s="429" t="s">
        <v>1101</v>
      </c>
      <c r="C186" s="418" t="s">
        <v>1277</v>
      </c>
      <c r="D186" s="419" t="s">
        <v>490</v>
      </c>
      <c r="E186" s="456" t="s">
        <v>1374</v>
      </c>
      <c r="F186" s="362" t="s">
        <v>1375</v>
      </c>
      <c r="G186" s="362" t="s">
        <v>419</v>
      </c>
      <c r="H186" s="378" t="s">
        <v>1376</v>
      </c>
      <c r="I186" s="362" t="s">
        <v>1377</v>
      </c>
      <c r="J186" s="406" t="s">
        <v>1378</v>
      </c>
      <c r="K186" s="362" t="s">
        <v>926</v>
      </c>
      <c r="L186" s="431" t="s">
        <v>511</v>
      </c>
    </row>
    <row r="187" spans="1:12" ht="60" hidden="1">
      <c r="A187" s="417">
        <v>182</v>
      </c>
      <c r="B187" s="406" t="s">
        <v>1251</v>
      </c>
      <c r="C187" s="418" t="s">
        <v>1379</v>
      </c>
      <c r="D187" s="419" t="s">
        <v>569</v>
      </c>
      <c r="E187" s="456" t="s">
        <v>1380</v>
      </c>
      <c r="F187" s="362" t="s">
        <v>1381</v>
      </c>
      <c r="G187" s="429" t="s">
        <v>419</v>
      </c>
      <c r="H187" s="378" t="s">
        <v>1382</v>
      </c>
      <c r="I187" s="378"/>
      <c r="J187" s="406" t="s">
        <v>1034</v>
      </c>
      <c r="K187" s="378"/>
      <c r="L187" s="431" t="s">
        <v>424</v>
      </c>
    </row>
    <row r="188" spans="1:12" ht="60" hidden="1">
      <c r="A188" s="417">
        <v>183</v>
      </c>
      <c r="B188" s="406" t="s">
        <v>1383</v>
      </c>
      <c r="C188" s="418" t="s">
        <v>1384</v>
      </c>
      <c r="D188" s="419" t="s">
        <v>943</v>
      </c>
      <c r="E188" s="456" t="s">
        <v>1385</v>
      </c>
      <c r="F188" s="406" t="s">
        <v>1386</v>
      </c>
      <c r="G188" s="456" t="s">
        <v>499</v>
      </c>
      <c r="H188" s="474" t="s">
        <v>1387</v>
      </c>
      <c r="I188" s="378"/>
      <c r="J188" s="406" t="s">
        <v>1388</v>
      </c>
      <c r="K188" s="406" t="s">
        <v>1389</v>
      </c>
      <c r="L188" s="431" t="s">
        <v>633</v>
      </c>
    </row>
    <row r="189" spans="1:12" ht="60" hidden="1">
      <c r="A189" s="417">
        <v>184</v>
      </c>
      <c r="B189" s="406" t="s">
        <v>1390</v>
      </c>
      <c r="C189" s="418" t="s">
        <v>1391</v>
      </c>
      <c r="D189" s="419" t="s">
        <v>1392</v>
      </c>
      <c r="E189" s="456" t="s">
        <v>1393</v>
      </c>
      <c r="F189" s="406" t="s">
        <v>1394</v>
      </c>
      <c r="G189" s="456" t="s">
        <v>499</v>
      </c>
      <c r="H189" s="378" t="s">
        <v>1395</v>
      </c>
      <c r="I189" s="378"/>
      <c r="J189" s="406" t="s">
        <v>863</v>
      </c>
      <c r="K189" s="406" t="s">
        <v>1389</v>
      </c>
      <c r="L189" s="431" t="s">
        <v>633</v>
      </c>
    </row>
    <row r="190" spans="1:12" ht="60" hidden="1">
      <c r="A190" s="417">
        <v>185</v>
      </c>
      <c r="B190" s="429" t="s">
        <v>1396</v>
      </c>
      <c r="C190" s="418" t="s">
        <v>1384</v>
      </c>
      <c r="D190" s="419" t="s">
        <v>943</v>
      </c>
      <c r="E190" s="456" t="s">
        <v>1397</v>
      </c>
      <c r="F190" s="429" t="s">
        <v>1398</v>
      </c>
      <c r="G190" s="456" t="s">
        <v>499</v>
      </c>
      <c r="H190" s="378" t="s">
        <v>1399</v>
      </c>
      <c r="I190" s="378"/>
      <c r="J190" s="429" t="s">
        <v>1400</v>
      </c>
      <c r="K190" s="406" t="s">
        <v>1389</v>
      </c>
      <c r="L190" s="431" t="s">
        <v>633</v>
      </c>
    </row>
    <row r="191" spans="1:12" ht="75" hidden="1">
      <c r="A191" s="417">
        <v>186</v>
      </c>
      <c r="B191" s="429" t="s">
        <v>1401</v>
      </c>
      <c r="C191" s="418" t="s">
        <v>942</v>
      </c>
      <c r="D191" s="419" t="s">
        <v>943</v>
      </c>
      <c r="E191" s="456" t="s">
        <v>1402</v>
      </c>
      <c r="F191" s="429" t="s">
        <v>1403</v>
      </c>
      <c r="G191" s="429" t="s">
        <v>967</v>
      </c>
      <c r="H191" s="378" t="s">
        <v>1298</v>
      </c>
      <c r="I191" s="362" t="s">
        <v>969</v>
      </c>
      <c r="J191" s="429" t="s">
        <v>1404</v>
      </c>
      <c r="K191" s="378"/>
      <c r="L191" s="431" t="s">
        <v>633</v>
      </c>
    </row>
    <row r="192" spans="1:12" ht="102" hidden="1">
      <c r="A192" s="406">
        <v>187</v>
      </c>
      <c r="B192" s="406" t="s">
        <v>1405</v>
      </c>
      <c r="C192" s="406" t="s">
        <v>1406</v>
      </c>
      <c r="D192" s="409" t="s">
        <v>1406</v>
      </c>
      <c r="E192" s="406" t="s">
        <v>1407</v>
      </c>
      <c r="F192" s="406">
        <v>399626</v>
      </c>
      <c r="G192" s="431" t="s">
        <v>499</v>
      </c>
      <c r="H192" s="426" t="s">
        <v>1408</v>
      </c>
      <c r="I192" s="406" t="s">
        <v>1409</v>
      </c>
      <c r="J192" s="475" t="s">
        <v>1410</v>
      </c>
      <c r="K192" s="417"/>
      <c r="L192" s="431" t="s">
        <v>1370</v>
      </c>
    </row>
    <row r="193" spans="1:12" ht="102" hidden="1">
      <c r="A193" s="406">
        <v>188</v>
      </c>
      <c r="B193" s="406" t="s">
        <v>1405</v>
      </c>
      <c r="C193" s="406" t="s">
        <v>1406</v>
      </c>
      <c r="D193" s="409" t="s">
        <v>1406</v>
      </c>
      <c r="E193" s="406" t="s">
        <v>1411</v>
      </c>
      <c r="F193" s="406">
        <v>401500</v>
      </c>
      <c r="G193" s="431" t="s">
        <v>499</v>
      </c>
      <c r="H193" s="426" t="s">
        <v>1412</v>
      </c>
      <c r="I193" s="406" t="s">
        <v>1409</v>
      </c>
      <c r="J193" s="475" t="s">
        <v>1410</v>
      </c>
      <c r="K193" s="417"/>
      <c r="L193" s="431" t="s">
        <v>1370</v>
      </c>
    </row>
    <row r="194" spans="1:12" ht="60" hidden="1">
      <c r="A194" s="417">
        <v>189</v>
      </c>
      <c r="B194" s="411" t="s">
        <v>1413</v>
      </c>
      <c r="C194" s="425" t="s">
        <v>1414</v>
      </c>
      <c r="D194" s="419" t="s">
        <v>1415</v>
      </c>
      <c r="E194" s="431" t="s">
        <v>1416</v>
      </c>
      <c r="F194" s="417"/>
      <c r="G194" s="431" t="s">
        <v>499</v>
      </c>
      <c r="H194" s="417"/>
      <c r="I194" s="411" t="s">
        <v>1417</v>
      </c>
      <c r="J194" s="411" t="s">
        <v>1418</v>
      </c>
      <c r="K194" s="417"/>
      <c r="L194" s="431" t="s">
        <v>1419</v>
      </c>
    </row>
    <row r="195" spans="1:12" ht="75" hidden="1">
      <c r="A195" s="387">
        <v>190</v>
      </c>
      <c r="B195" s="429" t="s">
        <v>517</v>
      </c>
      <c r="C195" s="418" t="s">
        <v>518</v>
      </c>
      <c r="D195" s="419" t="s">
        <v>519</v>
      </c>
      <c r="E195" s="378" t="s">
        <v>1420</v>
      </c>
      <c r="F195" s="362" t="s">
        <v>1421</v>
      </c>
      <c r="G195" s="362" t="s">
        <v>419</v>
      </c>
      <c r="H195" s="430">
        <v>95826</v>
      </c>
      <c r="I195" s="362" t="s">
        <v>1422</v>
      </c>
      <c r="J195" s="407" t="s">
        <v>523</v>
      </c>
      <c r="K195" s="417"/>
      <c r="L195" s="431" t="s">
        <v>511</v>
      </c>
    </row>
    <row r="196" spans="1:12" ht="60">
      <c r="A196" s="392">
        <v>191</v>
      </c>
      <c r="B196" s="458" t="s">
        <v>528</v>
      </c>
      <c r="C196" s="460" t="s">
        <v>518</v>
      </c>
      <c r="D196" s="461" t="s">
        <v>529</v>
      </c>
      <c r="E196" s="476" t="s">
        <v>1423</v>
      </c>
      <c r="F196" s="379" t="s">
        <v>1424</v>
      </c>
      <c r="G196" s="379" t="s">
        <v>430</v>
      </c>
      <c r="H196" s="379" t="s">
        <v>1425</v>
      </c>
      <c r="I196" s="379" t="s">
        <v>1426</v>
      </c>
      <c r="J196" s="471" t="s">
        <v>523</v>
      </c>
      <c r="K196" s="459"/>
      <c r="L196" s="464" t="s">
        <v>511</v>
      </c>
    </row>
    <row r="197" spans="1:12" ht="75" hidden="1">
      <c r="A197" s="417">
        <v>192</v>
      </c>
      <c r="B197" s="406" t="s">
        <v>1427</v>
      </c>
      <c r="C197" s="418" t="s">
        <v>1428</v>
      </c>
      <c r="D197" s="419" t="s">
        <v>1428</v>
      </c>
      <c r="E197" s="456" t="s">
        <v>1429</v>
      </c>
      <c r="F197" s="378"/>
      <c r="G197" s="456" t="s">
        <v>499</v>
      </c>
      <c r="H197" s="378"/>
      <c r="I197" s="362" t="s">
        <v>1305</v>
      </c>
      <c r="J197" s="406" t="s">
        <v>863</v>
      </c>
      <c r="K197" s="378"/>
      <c r="L197" s="456" t="s">
        <v>633</v>
      </c>
    </row>
    <row r="198" spans="1:12" ht="75" hidden="1">
      <c r="A198" s="417">
        <v>193</v>
      </c>
      <c r="B198" s="406" t="s">
        <v>1427</v>
      </c>
      <c r="C198" s="418" t="s">
        <v>1430</v>
      </c>
      <c r="D198" s="419" t="s">
        <v>1431</v>
      </c>
      <c r="E198" s="456" t="s">
        <v>1432</v>
      </c>
      <c r="F198" s="378"/>
      <c r="G198" s="456" t="s">
        <v>430</v>
      </c>
      <c r="H198" s="378"/>
      <c r="I198" s="362" t="s">
        <v>1433</v>
      </c>
      <c r="J198" s="429" t="s">
        <v>1434</v>
      </c>
      <c r="K198" s="378"/>
      <c r="L198" s="456" t="s">
        <v>633</v>
      </c>
    </row>
    <row r="199" spans="1:12" ht="60" hidden="1">
      <c r="A199" s="417">
        <v>194</v>
      </c>
      <c r="B199" s="411" t="s">
        <v>1435</v>
      </c>
      <c r="C199" s="425" t="s">
        <v>1436</v>
      </c>
      <c r="D199" s="419" t="s">
        <v>1215</v>
      </c>
      <c r="E199" s="431" t="s">
        <v>1437</v>
      </c>
      <c r="F199" s="411" t="s">
        <v>1438</v>
      </c>
      <c r="G199" s="429" t="s">
        <v>419</v>
      </c>
      <c r="H199" s="411" t="s">
        <v>1439</v>
      </c>
      <c r="I199" s="411"/>
      <c r="J199" s="406" t="s">
        <v>863</v>
      </c>
      <c r="K199" s="417"/>
      <c r="L199" s="431" t="s">
        <v>424</v>
      </c>
    </row>
    <row r="200" spans="1:12" ht="90" hidden="1">
      <c r="A200" s="417">
        <v>195</v>
      </c>
      <c r="B200" s="411" t="s">
        <v>1440</v>
      </c>
      <c r="C200" s="425" t="s">
        <v>1343</v>
      </c>
      <c r="D200" s="419" t="s">
        <v>666</v>
      </c>
      <c r="E200" s="431" t="s">
        <v>1441</v>
      </c>
      <c r="F200" s="411" t="s">
        <v>1442</v>
      </c>
      <c r="G200" s="429" t="s">
        <v>430</v>
      </c>
      <c r="H200" s="417" t="s">
        <v>1443</v>
      </c>
      <c r="I200" s="411" t="s">
        <v>1444</v>
      </c>
      <c r="J200" s="411" t="s">
        <v>1445</v>
      </c>
      <c r="K200" s="411" t="s">
        <v>926</v>
      </c>
      <c r="L200" s="431" t="s">
        <v>511</v>
      </c>
    </row>
    <row r="201" spans="1:12" ht="105" hidden="1">
      <c r="A201" s="417">
        <v>196</v>
      </c>
      <c r="B201" s="411" t="s">
        <v>1255</v>
      </c>
      <c r="C201" s="425" t="s">
        <v>1446</v>
      </c>
      <c r="D201" s="419" t="s">
        <v>1290</v>
      </c>
      <c r="E201" s="431" t="s">
        <v>1320</v>
      </c>
      <c r="F201" s="411" t="s">
        <v>1447</v>
      </c>
      <c r="G201" s="429" t="s">
        <v>419</v>
      </c>
      <c r="H201" s="417" t="s">
        <v>1448</v>
      </c>
      <c r="I201" s="411" t="s">
        <v>1444</v>
      </c>
      <c r="J201" s="411" t="s">
        <v>1449</v>
      </c>
      <c r="K201" s="411" t="s">
        <v>1084</v>
      </c>
      <c r="L201" s="431" t="s">
        <v>511</v>
      </c>
    </row>
    <row r="202" spans="1:12" ht="75" hidden="1">
      <c r="A202" s="417">
        <v>197</v>
      </c>
      <c r="B202" s="362" t="s">
        <v>1450</v>
      </c>
      <c r="C202" s="425" t="s">
        <v>697</v>
      </c>
      <c r="D202" s="419" t="s">
        <v>581</v>
      </c>
      <c r="E202" s="431" t="s">
        <v>1451</v>
      </c>
      <c r="F202" s="406" t="s">
        <v>1452</v>
      </c>
      <c r="G202" s="431" t="s">
        <v>499</v>
      </c>
      <c r="H202" s="411" t="s">
        <v>1453</v>
      </c>
      <c r="I202" s="411" t="s">
        <v>1454</v>
      </c>
      <c r="J202" s="411" t="s">
        <v>1455</v>
      </c>
      <c r="K202" s="417"/>
      <c r="L202" s="431" t="s">
        <v>1357</v>
      </c>
    </row>
    <row r="203" spans="1:12" ht="60" hidden="1">
      <c r="A203" s="417">
        <v>198</v>
      </c>
      <c r="B203" s="411" t="s">
        <v>1456</v>
      </c>
      <c r="C203" s="425" t="s">
        <v>1457</v>
      </c>
      <c r="D203" s="420" t="s">
        <v>1457</v>
      </c>
      <c r="E203" s="431" t="s">
        <v>1458</v>
      </c>
      <c r="F203" s="406" t="s">
        <v>1459</v>
      </c>
      <c r="G203" s="431" t="s">
        <v>499</v>
      </c>
      <c r="H203" s="435">
        <v>70000</v>
      </c>
      <c r="I203" s="411" t="s">
        <v>1454</v>
      </c>
      <c r="J203" s="411" t="s">
        <v>1460</v>
      </c>
      <c r="K203" s="417"/>
      <c r="L203" s="431" t="s">
        <v>1461</v>
      </c>
    </row>
    <row r="204" spans="1:12" ht="60" hidden="1">
      <c r="A204" s="417">
        <v>199</v>
      </c>
      <c r="B204" s="411" t="s">
        <v>1462</v>
      </c>
      <c r="C204" s="425" t="s">
        <v>1457</v>
      </c>
      <c r="D204" s="420" t="s">
        <v>1457</v>
      </c>
      <c r="E204" s="431" t="s">
        <v>1463</v>
      </c>
      <c r="F204" s="406" t="s">
        <v>1464</v>
      </c>
      <c r="G204" s="431" t="s">
        <v>499</v>
      </c>
      <c r="H204" s="435">
        <v>89901</v>
      </c>
      <c r="I204" s="411" t="s">
        <v>1454</v>
      </c>
      <c r="J204" s="411" t="s">
        <v>1465</v>
      </c>
      <c r="K204" s="417"/>
      <c r="L204" s="431" t="s">
        <v>1461</v>
      </c>
    </row>
    <row r="205" spans="1:12" ht="60" hidden="1">
      <c r="A205" s="417">
        <v>200</v>
      </c>
      <c r="B205" s="362" t="s">
        <v>846</v>
      </c>
      <c r="C205" s="418" t="s">
        <v>1466</v>
      </c>
      <c r="D205" s="419" t="s">
        <v>416</v>
      </c>
      <c r="E205" s="378" t="s">
        <v>1467</v>
      </c>
      <c r="F205" s="406" t="s">
        <v>1468</v>
      </c>
      <c r="G205" s="429" t="s">
        <v>419</v>
      </c>
      <c r="H205" s="378" t="s">
        <v>1469</v>
      </c>
      <c r="I205" s="362" t="s">
        <v>1470</v>
      </c>
      <c r="J205" s="362" t="s">
        <v>1471</v>
      </c>
      <c r="K205" s="362" t="s">
        <v>853</v>
      </c>
      <c r="L205" s="431" t="s">
        <v>511</v>
      </c>
    </row>
    <row r="206" spans="1:12" ht="75">
      <c r="A206" s="417">
        <v>201</v>
      </c>
      <c r="B206" s="362" t="s">
        <v>1472</v>
      </c>
      <c r="C206" s="418" t="s">
        <v>942</v>
      </c>
      <c r="D206" s="419" t="s">
        <v>660</v>
      </c>
      <c r="E206" s="378" t="s">
        <v>1473</v>
      </c>
      <c r="F206" s="406" t="s">
        <v>1474</v>
      </c>
      <c r="G206" s="429" t="s">
        <v>499</v>
      </c>
      <c r="H206" s="477">
        <v>17582</v>
      </c>
      <c r="I206" s="362" t="s">
        <v>1470</v>
      </c>
      <c r="J206" s="362" t="s">
        <v>1475</v>
      </c>
      <c r="K206" s="406" t="s">
        <v>1476</v>
      </c>
      <c r="L206" s="431" t="s">
        <v>511</v>
      </c>
    </row>
    <row r="207" spans="1:12" ht="60">
      <c r="A207" s="417">
        <v>202</v>
      </c>
      <c r="B207" s="362" t="s">
        <v>1477</v>
      </c>
      <c r="C207" s="418" t="s">
        <v>942</v>
      </c>
      <c r="D207" s="419" t="s">
        <v>660</v>
      </c>
      <c r="E207" s="378"/>
      <c r="F207" s="429" t="s">
        <v>1478</v>
      </c>
      <c r="G207" s="429" t="s">
        <v>499</v>
      </c>
      <c r="H207" s="472">
        <v>46812.12</v>
      </c>
      <c r="I207" s="362" t="s">
        <v>1470</v>
      </c>
      <c r="J207" s="362" t="s">
        <v>1479</v>
      </c>
      <c r="K207" s="362" t="s">
        <v>1476</v>
      </c>
      <c r="L207" s="431" t="s">
        <v>511</v>
      </c>
    </row>
    <row r="208" spans="1:12" ht="60" hidden="1">
      <c r="A208" s="417">
        <v>203</v>
      </c>
      <c r="B208" s="362" t="s">
        <v>1480</v>
      </c>
      <c r="C208" s="418" t="s">
        <v>1466</v>
      </c>
      <c r="D208" s="419" t="s">
        <v>847</v>
      </c>
      <c r="E208" s="378" t="s">
        <v>1481</v>
      </c>
      <c r="F208" s="429" t="s">
        <v>1482</v>
      </c>
      <c r="G208" s="429" t="s">
        <v>419</v>
      </c>
      <c r="H208" s="477">
        <v>22574</v>
      </c>
      <c r="I208" s="362" t="s">
        <v>1470</v>
      </c>
      <c r="J208" s="362" t="s">
        <v>1483</v>
      </c>
      <c r="K208" s="362" t="s">
        <v>996</v>
      </c>
      <c r="L208" s="431" t="s">
        <v>511</v>
      </c>
    </row>
    <row r="209" spans="1:12" ht="60" hidden="1">
      <c r="A209" s="417">
        <v>204</v>
      </c>
      <c r="B209" s="362" t="s">
        <v>1480</v>
      </c>
      <c r="C209" s="418" t="s">
        <v>1466</v>
      </c>
      <c r="D209" s="419" t="s">
        <v>847</v>
      </c>
      <c r="E209" s="378" t="s">
        <v>1484</v>
      </c>
      <c r="F209" s="429" t="s">
        <v>1485</v>
      </c>
      <c r="G209" s="429" t="s">
        <v>419</v>
      </c>
      <c r="H209" s="477">
        <v>50165</v>
      </c>
      <c r="I209" s="362" t="s">
        <v>1470</v>
      </c>
      <c r="J209" s="362" t="s">
        <v>1479</v>
      </c>
      <c r="K209" s="362" t="s">
        <v>996</v>
      </c>
      <c r="L209" s="431" t="s">
        <v>511</v>
      </c>
    </row>
    <row r="210" spans="1:12" ht="75" hidden="1">
      <c r="A210" s="417">
        <v>205</v>
      </c>
      <c r="B210" s="362" t="s">
        <v>1486</v>
      </c>
      <c r="C210" s="418" t="s">
        <v>1487</v>
      </c>
      <c r="D210" s="419" t="s">
        <v>490</v>
      </c>
      <c r="E210" s="456" t="s">
        <v>1488</v>
      </c>
      <c r="F210" s="429" t="s">
        <v>1489</v>
      </c>
      <c r="G210" s="429" t="s">
        <v>419</v>
      </c>
      <c r="H210" s="378" t="s">
        <v>1490</v>
      </c>
      <c r="I210" s="362" t="s">
        <v>1491</v>
      </c>
      <c r="J210" s="362" t="s">
        <v>1492</v>
      </c>
      <c r="K210" s="362" t="s">
        <v>926</v>
      </c>
      <c r="L210" s="431" t="s">
        <v>511</v>
      </c>
    </row>
    <row r="211" spans="1:12" ht="75">
      <c r="A211" s="417">
        <v>206</v>
      </c>
      <c r="B211" s="362" t="s">
        <v>1191</v>
      </c>
      <c r="C211" s="418" t="s">
        <v>1436</v>
      </c>
      <c r="D211" s="419" t="s">
        <v>990</v>
      </c>
      <c r="E211" s="456" t="s">
        <v>1493</v>
      </c>
      <c r="F211" s="429" t="s">
        <v>1494</v>
      </c>
      <c r="G211" s="429" t="s">
        <v>430</v>
      </c>
      <c r="H211" s="472">
        <v>68272.72</v>
      </c>
      <c r="I211" s="362"/>
      <c r="J211" s="362" t="s">
        <v>1492</v>
      </c>
      <c r="K211" s="362" t="s">
        <v>926</v>
      </c>
      <c r="L211" s="431" t="s">
        <v>511</v>
      </c>
    </row>
    <row r="212" spans="1:12" ht="75">
      <c r="A212" s="417">
        <v>207</v>
      </c>
      <c r="B212" s="362" t="s">
        <v>1090</v>
      </c>
      <c r="C212" s="418" t="s">
        <v>1436</v>
      </c>
      <c r="D212" s="419" t="s">
        <v>990</v>
      </c>
      <c r="E212" s="456" t="s">
        <v>1495</v>
      </c>
      <c r="F212" s="429" t="s">
        <v>1496</v>
      </c>
      <c r="G212" s="429" t="s">
        <v>419</v>
      </c>
      <c r="H212" s="378" t="s">
        <v>1497</v>
      </c>
      <c r="I212" s="362"/>
      <c r="J212" s="362" t="s">
        <v>1492</v>
      </c>
      <c r="K212" s="362" t="s">
        <v>926</v>
      </c>
      <c r="L212" s="431" t="s">
        <v>511</v>
      </c>
    </row>
    <row r="213" spans="1:12" ht="75">
      <c r="A213" s="417">
        <v>208</v>
      </c>
      <c r="B213" s="362" t="s">
        <v>1498</v>
      </c>
      <c r="C213" s="418" t="s">
        <v>1499</v>
      </c>
      <c r="D213" s="419" t="s">
        <v>1499</v>
      </c>
      <c r="E213" s="456" t="s">
        <v>1500</v>
      </c>
      <c r="F213" s="429" t="s">
        <v>1501</v>
      </c>
      <c r="G213" s="431" t="s">
        <v>499</v>
      </c>
      <c r="H213" s="477">
        <v>35000</v>
      </c>
      <c r="I213" s="362" t="s">
        <v>1502</v>
      </c>
      <c r="J213" s="362" t="s">
        <v>1503</v>
      </c>
      <c r="K213" s="378"/>
      <c r="L213" s="431" t="s">
        <v>1357</v>
      </c>
    </row>
    <row r="214" spans="1:12" ht="75">
      <c r="A214" s="417">
        <v>209</v>
      </c>
      <c r="B214" s="362" t="s">
        <v>1498</v>
      </c>
      <c r="C214" s="418" t="s">
        <v>1499</v>
      </c>
      <c r="D214" s="419" t="s">
        <v>1499</v>
      </c>
      <c r="E214" s="456" t="s">
        <v>1504</v>
      </c>
      <c r="F214" s="429" t="s">
        <v>1505</v>
      </c>
      <c r="G214" s="431" t="s">
        <v>499</v>
      </c>
      <c r="H214" s="477">
        <v>25000</v>
      </c>
      <c r="I214" s="362" t="s">
        <v>1502</v>
      </c>
      <c r="J214" s="362" t="s">
        <v>1503</v>
      </c>
      <c r="K214" s="378"/>
      <c r="L214" s="431" t="s">
        <v>1357</v>
      </c>
    </row>
    <row r="215" spans="1:12" ht="60" hidden="1">
      <c r="A215" s="417">
        <v>210</v>
      </c>
      <c r="B215" s="362" t="s">
        <v>1506</v>
      </c>
      <c r="C215" s="418" t="s">
        <v>1487</v>
      </c>
      <c r="D215" s="419" t="s">
        <v>1006</v>
      </c>
      <c r="E215" s="378" t="s">
        <v>1507</v>
      </c>
      <c r="F215" s="429" t="s">
        <v>1508</v>
      </c>
      <c r="G215" s="429" t="s">
        <v>419</v>
      </c>
      <c r="H215" s="362" t="s">
        <v>1509</v>
      </c>
      <c r="I215" s="362" t="s">
        <v>1510</v>
      </c>
      <c r="J215" s="362" t="s">
        <v>1511</v>
      </c>
      <c r="K215" s="362" t="s">
        <v>1512</v>
      </c>
      <c r="L215" s="431" t="s">
        <v>511</v>
      </c>
    </row>
    <row r="216" spans="1:12" ht="60">
      <c r="A216" s="417">
        <v>211</v>
      </c>
      <c r="B216" s="362" t="s">
        <v>1085</v>
      </c>
      <c r="C216" s="418" t="s">
        <v>504</v>
      </c>
      <c r="D216" s="419" t="s">
        <v>504</v>
      </c>
      <c r="E216" s="456" t="s">
        <v>1513</v>
      </c>
      <c r="F216" s="429" t="s">
        <v>1514</v>
      </c>
      <c r="G216" s="431" t="s">
        <v>499</v>
      </c>
      <c r="H216" s="378" t="s">
        <v>1515</v>
      </c>
      <c r="I216" s="362" t="s">
        <v>1516</v>
      </c>
      <c r="J216" s="362" t="s">
        <v>1511</v>
      </c>
      <c r="K216" s="429" t="s">
        <v>1517</v>
      </c>
      <c r="L216" s="431" t="s">
        <v>511</v>
      </c>
    </row>
    <row r="217" spans="1:12" ht="60">
      <c r="A217" s="417">
        <v>212</v>
      </c>
      <c r="B217" s="362" t="s">
        <v>1518</v>
      </c>
      <c r="C217" s="418" t="s">
        <v>504</v>
      </c>
      <c r="D217" s="419" t="s">
        <v>504</v>
      </c>
      <c r="E217" s="456" t="s">
        <v>1519</v>
      </c>
      <c r="F217" s="429" t="s">
        <v>1520</v>
      </c>
      <c r="G217" s="431" t="s">
        <v>499</v>
      </c>
      <c r="H217" s="378" t="s">
        <v>1521</v>
      </c>
      <c r="I217" s="362" t="s">
        <v>1516</v>
      </c>
      <c r="J217" s="362" t="s">
        <v>1511</v>
      </c>
      <c r="K217" s="429" t="s">
        <v>1517</v>
      </c>
      <c r="L217" s="431" t="s">
        <v>511</v>
      </c>
    </row>
    <row r="218" spans="1:12" ht="90" hidden="1">
      <c r="A218" s="417">
        <v>213</v>
      </c>
      <c r="B218" s="362" t="s">
        <v>1265</v>
      </c>
      <c r="C218" s="418" t="s">
        <v>1522</v>
      </c>
      <c r="D218" s="419" t="s">
        <v>734</v>
      </c>
      <c r="E218" s="456" t="s">
        <v>1523</v>
      </c>
      <c r="F218" s="429" t="s">
        <v>1524</v>
      </c>
      <c r="G218" s="431" t="s">
        <v>499</v>
      </c>
      <c r="H218" s="378" t="s">
        <v>1525</v>
      </c>
      <c r="I218" s="362" t="s">
        <v>1516</v>
      </c>
      <c r="J218" s="362" t="s">
        <v>1526</v>
      </c>
      <c r="K218" s="362" t="s">
        <v>1084</v>
      </c>
      <c r="L218" s="431" t="s">
        <v>511</v>
      </c>
    </row>
    <row r="219" spans="1:12" ht="60" hidden="1">
      <c r="A219" s="417">
        <v>214</v>
      </c>
      <c r="B219" s="407" t="s">
        <v>1527</v>
      </c>
      <c r="C219" s="418" t="s">
        <v>1466</v>
      </c>
      <c r="D219" s="419" t="s">
        <v>847</v>
      </c>
      <c r="E219" s="456" t="s">
        <v>1528</v>
      </c>
      <c r="F219" s="429" t="s">
        <v>1529</v>
      </c>
      <c r="G219" s="429" t="s">
        <v>419</v>
      </c>
      <c r="H219" s="378" t="s">
        <v>1530</v>
      </c>
      <c r="I219" s="362" t="s">
        <v>1531</v>
      </c>
      <c r="J219" s="378" t="s">
        <v>1532</v>
      </c>
      <c r="K219" s="429" t="s">
        <v>1533</v>
      </c>
      <c r="L219" s="431" t="s">
        <v>511</v>
      </c>
    </row>
    <row r="220" spans="1:12" ht="60" hidden="1">
      <c r="A220" s="417">
        <v>215</v>
      </c>
      <c r="B220" s="407" t="s">
        <v>1527</v>
      </c>
      <c r="C220" s="418" t="s">
        <v>1466</v>
      </c>
      <c r="D220" s="419" t="s">
        <v>847</v>
      </c>
      <c r="E220" s="456" t="s">
        <v>1534</v>
      </c>
      <c r="F220" s="429" t="s">
        <v>1535</v>
      </c>
      <c r="G220" s="429" t="s">
        <v>419</v>
      </c>
      <c r="H220" s="477">
        <v>52765</v>
      </c>
      <c r="I220" s="362" t="s">
        <v>1531</v>
      </c>
      <c r="J220" s="378" t="s">
        <v>1532</v>
      </c>
      <c r="K220" s="429" t="s">
        <v>1533</v>
      </c>
      <c r="L220" s="431" t="s">
        <v>511</v>
      </c>
    </row>
    <row r="221" spans="1:12" ht="60" hidden="1">
      <c r="A221" s="417">
        <v>216</v>
      </c>
      <c r="B221" s="406" t="s">
        <v>1536</v>
      </c>
      <c r="C221" s="418" t="s">
        <v>1537</v>
      </c>
      <c r="D221" s="419" t="s">
        <v>666</v>
      </c>
      <c r="E221" s="456" t="s">
        <v>1538</v>
      </c>
      <c r="F221" s="429" t="s">
        <v>1539</v>
      </c>
      <c r="G221" s="431" t="s">
        <v>499</v>
      </c>
      <c r="H221" s="378" t="s">
        <v>1540</v>
      </c>
      <c r="I221" s="362" t="s">
        <v>1541</v>
      </c>
      <c r="J221" s="362" t="s">
        <v>1542</v>
      </c>
      <c r="K221" s="406" t="s">
        <v>1543</v>
      </c>
      <c r="L221" s="431" t="s">
        <v>1544</v>
      </c>
    </row>
    <row r="222" spans="1:12" ht="75" hidden="1">
      <c r="A222" s="417">
        <v>217</v>
      </c>
      <c r="B222" s="362" t="s">
        <v>1545</v>
      </c>
      <c r="C222" s="418" t="s">
        <v>1537</v>
      </c>
      <c r="D222" s="419" t="s">
        <v>666</v>
      </c>
      <c r="E222" s="378" t="s">
        <v>958</v>
      </c>
      <c r="F222" s="362" t="s">
        <v>1546</v>
      </c>
      <c r="G222" s="378" t="s">
        <v>499</v>
      </c>
      <c r="H222" s="378" t="s">
        <v>1547</v>
      </c>
      <c r="I222" s="362" t="s">
        <v>1548</v>
      </c>
      <c r="J222" s="362" t="s">
        <v>1542</v>
      </c>
      <c r="K222" s="406" t="s">
        <v>1543</v>
      </c>
      <c r="L222" s="378" t="s">
        <v>1544</v>
      </c>
    </row>
    <row r="223" spans="1:12" ht="60" hidden="1">
      <c r="A223" s="417">
        <v>218</v>
      </c>
      <c r="B223" s="362" t="s">
        <v>1549</v>
      </c>
      <c r="C223" s="418" t="s">
        <v>1537</v>
      </c>
      <c r="D223" s="419" t="s">
        <v>666</v>
      </c>
      <c r="E223" s="378" t="s">
        <v>950</v>
      </c>
      <c r="F223" s="362" t="s">
        <v>1550</v>
      </c>
      <c r="G223" s="378" t="s">
        <v>499</v>
      </c>
      <c r="H223" s="378" t="s">
        <v>1551</v>
      </c>
      <c r="I223" s="362" t="s">
        <v>1548</v>
      </c>
      <c r="J223" s="362" t="s">
        <v>1542</v>
      </c>
      <c r="K223" s="406" t="s">
        <v>1543</v>
      </c>
      <c r="L223" s="378" t="s">
        <v>1544</v>
      </c>
    </row>
    <row r="224" spans="1:12" ht="60" hidden="1">
      <c r="A224" s="417">
        <v>219</v>
      </c>
      <c r="B224" s="362" t="s">
        <v>1552</v>
      </c>
      <c r="C224" s="418" t="s">
        <v>666</v>
      </c>
      <c r="D224" s="419" t="s">
        <v>666</v>
      </c>
      <c r="E224" s="378" t="s">
        <v>1553</v>
      </c>
      <c r="F224" s="362" t="s">
        <v>1554</v>
      </c>
      <c r="G224" s="378" t="s">
        <v>499</v>
      </c>
      <c r="H224" s="362" t="s">
        <v>1555</v>
      </c>
      <c r="I224" s="362" t="s">
        <v>1556</v>
      </c>
      <c r="J224" s="362" t="s">
        <v>1557</v>
      </c>
      <c r="K224" s="406" t="s">
        <v>1558</v>
      </c>
      <c r="L224" s="378" t="s">
        <v>1357</v>
      </c>
    </row>
    <row r="225" spans="1:12" ht="75">
      <c r="A225" s="417">
        <v>220</v>
      </c>
      <c r="B225" s="362" t="s">
        <v>1036</v>
      </c>
      <c r="C225" s="418" t="s">
        <v>1559</v>
      </c>
      <c r="D225" s="419" t="s">
        <v>1030</v>
      </c>
      <c r="E225" s="378" t="s">
        <v>1560</v>
      </c>
      <c r="F225" s="362" t="s">
        <v>1561</v>
      </c>
      <c r="G225" s="362" t="s">
        <v>419</v>
      </c>
      <c r="H225" s="472">
        <v>87207.54</v>
      </c>
      <c r="I225" s="362" t="s">
        <v>1562</v>
      </c>
      <c r="J225" s="362" t="s">
        <v>1492</v>
      </c>
      <c r="K225" s="362" t="s">
        <v>926</v>
      </c>
      <c r="L225" s="378" t="s">
        <v>511</v>
      </c>
    </row>
    <row r="226" spans="1:12" ht="75" hidden="1">
      <c r="A226" s="417">
        <v>221</v>
      </c>
      <c r="B226" s="362" t="s">
        <v>1563</v>
      </c>
      <c r="C226" s="418" t="s">
        <v>1215</v>
      </c>
      <c r="D226" s="419" t="s">
        <v>1215</v>
      </c>
      <c r="E226" s="378" t="s">
        <v>1564</v>
      </c>
      <c r="F226" s="362" t="s">
        <v>1565</v>
      </c>
      <c r="G226" s="378" t="s">
        <v>499</v>
      </c>
      <c r="H226" s="378" t="s">
        <v>1566</v>
      </c>
      <c r="I226" s="378"/>
      <c r="J226" s="362" t="s">
        <v>1567</v>
      </c>
      <c r="K226" s="362" t="s">
        <v>1568</v>
      </c>
      <c r="L226" s="378" t="s">
        <v>1205</v>
      </c>
    </row>
    <row r="227" spans="1:12" ht="60">
      <c r="A227" s="417">
        <v>222</v>
      </c>
      <c r="B227" s="362" t="s">
        <v>1569</v>
      </c>
      <c r="C227" s="418" t="s">
        <v>1570</v>
      </c>
      <c r="D227" s="419" t="s">
        <v>1570</v>
      </c>
      <c r="E227" s="378"/>
      <c r="F227" s="362" t="s">
        <v>1571</v>
      </c>
      <c r="G227" s="378" t="s">
        <v>499</v>
      </c>
      <c r="H227" s="378"/>
      <c r="I227" s="362" t="s">
        <v>1572</v>
      </c>
      <c r="J227" s="362" t="s">
        <v>1573</v>
      </c>
      <c r="K227" s="378"/>
      <c r="L227" s="378" t="s">
        <v>1357</v>
      </c>
    </row>
    <row r="228" spans="1:12" ht="60">
      <c r="A228" s="417">
        <v>223</v>
      </c>
      <c r="B228" s="362" t="s">
        <v>1574</v>
      </c>
      <c r="C228" s="418" t="s">
        <v>1575</v>
      </c>
      <c r="D228" s="419" t="s">
        <v>1499</v>
      </c>
      <c r="E228" s="456" t="s">
        <v>1576</v>
      </c>
      <c r="F228" s="429" t="s">
        <v>1577</v>
      </c>
      <c r="G228" s="456" t="s">
        <v>499</v>
      </c>
      <c r="H228" s="378"/>
      <c r="I228" s="378"/>
      <c r="J228" s="362" t="s">
        <v>1578</v>
      </c>
      <c r="K228" s="378"/>
      <c r="L228" s="456" t="s">
        <v>1579</v>
      </c>
    </row>
    <row r="229" spans="1:12" ht="60">
      <c r="A229" s="417">
        <v>224</v>
      </c>
      <c r="B229" s="362" t="s">
        <v>897</v>
      </c>
      <c r="C229" s="418" t="s">
        <v>504</v>
      </c>
      <c r="D229" s="419" t="s">
        <v>504</v>
      </c>
      <c r="E229" s="378" t="s">
        <v>1580</v>
      </c>
      <c r="F229" s="429" t="s">
        <v>1581</v>
      </c>
      <c r="G229" s="456" t="s">
        <v>499</v>
      </c>
      <c r="H229" s="378" t="s">
        <v>1250</v>
      </c>
      <c r="I229" s="362" t="s">
        <v>1582</v>
      </c>
      <c r="J229" s="362" t="s">
        <v>1583</v>
      </c>
      <c r="K229" s="362" t="s">
        <v>853</v>
      </c>
      <c r="L229" s="456" t="s">
        <v>511</v>
      </c>
    </row>
    <row r="230" spans="1:12" ht="60">
      <c r="A230" s="417">
        <v>225</v>
      </c>
      <c r="B230" s="362" t="s">
        <v>1584</v>
      </c>
      <c r="C230" s="418" t="s">
        <v>504</v>
      </c>
      <c r="D230" s="419" t="s">
        <v>504</v>
      </c>
      <c r="E230" s="378"/>
      <c r="F230" s="429" t="s">
        <v>1585</v>
      </c>
      <c r="G230" s="456" t="s">
        <v>499</v>
      </c>
      <c r="H230" s="378" t="s">
        <v>1245</v>
      </c>
      <c r="I230" s="362" t="s">
        <v>1582</v>
      </c>
      <c r="J230" s="362" t="s">
        <v>1583</v>
      </c>
      <c r="K230" s="362" t="s">
        <v>853</v>
      </c>
      <c r="L230" s="456" t="s">
        <v>511</v>
      </c>
    </row>
    <row r="231" spans="1:12" ht="75">
      <c r="A231" s="417">
        <v>226</v>
      </c>
      <c r="B231" s="362" t="s">
        <v>1586</v>
      </c>
      <c r="C231" s="418" t="s">
        <v>1499</v>
      </c>
      <c r="D231" s="419" t="s">
        <v>1499</v>
      </c>
      <c r="E231" s="378" t="s">
        <v>1587</v>
      </c>
      <c r="F231" s="429" t="s">
        <v>1588</v>
      </c>
      <c r="G231" s="456" t="s">
        <v>499</v>
      </c>
      <c r="H231" s="378" t="s">
        <v>1589</v>
      </c>
      <c r="I231" s="362" t="s">
        <v>1582</v>
      </c>
      <c r="J231" s="362" t="s">
        <v>1567</v>
      </c>
      <c r="K231" s="406" t="s">
        <v>1590</v>
      </c>
      <c r="L231" s="456" t="s">
        <v>1461</v>
      </c>
    </row>
    <row r="232" spans="1:12" ht="60" hidden="1">
      <c r="A232" s="417">
        <v>227</v>
      </c>
      <c r="B232" s="362" t="s">
        <v>1591</v>
      </c>
      <c r="C232" s="418" t="s">
        <v>1592</v>
      </c>
      <c r="D232" s="419" t="s">
        <v>1593</v>
      </c>
      <c r="E232" s="378" t="s">
        <v>1594</v>
      </c>
      <c r="F232" s="429" t="s">
        <v>1595</v>
      </c>
      <c r="G232" s="456" t="s">
        <v>430</v>
      </c>
      <c r="H232" s="477">
        <v>50000</v>
      </c>
      <c r="I232" s="362" t="s">
        <v>1596</v>
      </c>
      <c r="J232" s="362" t="s">
        <v>1597</v>
      </c>
      <c r="K232" s="406" t="s">
        <v>1598</v>
      </c>
      <c r="L232" s="456" t="s">
        <v>1461</v>
      </c>
    </row>
    <row r="233" spans="1:12" ht="75" hidden="1">
      <c r="A233" s="417">
        <v>228</v>
      </c>
      <c r="B233" s="362" t="s">
        <v>1599</v>
      </c>
      <c r="C233" s="418" t="s">
        <v>1592</v>
      </c>
      <c r="D233" s="419" t="s">
        <v>1593</v>
      </c>
      <c r="E233" s="378" t="s">
        <v>1600</v>
      </c>
      <c r="F233" s="429" t="s">
        <v>1601</v>
      </c>
      <c r="G233" s="456" t="s">
        <v>430</v>
      </c>
      <c r="H233" s="477">
        <v>50000</v>
      </c>
      <c r="I233" s="362" t="s">
        <v>1596</v>
      </c>
      <c r="J233" s="362" t="s">
        <v>1597</v>
      </c>
      <c r="K233" s="406" t="s">
        <v>1598</v>
      </c>
      <c r="L233" s="456" t="s">
        <v>1461</v>
      </c>
    </row>
    <row r="234" spans="1:12" ht="75" hidden="1">
      <c r="A234" s="417">
        <v>229</v>
      </c>
      <c r="B234" s="362" t="s">
        <v>1602</v>
      </c>
      <c r="C234" s="418" t="s">
        <v>1603</v>
      </c>
      <c r="D234" s="419" t="s">
        <v>1603</v>
      </c>
      <c r="E234" s="456" t="s">
        <v>1604</v>
      </c>
      <c r="F234" s="429" t="s">
        <v>1605</v>
      </c>
      <c r="G234" s="456" t="s">
        <v>499</v>
      </c>
      <c r="H234" s="362" t="s">
        <v>1606</v>
      </c>
      <c r="I234" s="362" t="s">
        <v>1607</v>
      </c>
      <c r="J234" s="362" t="s">
        <v>1608</v>
      </c>
      <c r="K234" s="378"/>
      <c r="L234" s="456" t="s">
        <v>1357</v>
      </c>
    </row>
    <row r="235" spans="1:12" ht="75" hidden="1">
      <c r="A235" s="417">
        <v>230</v>
      </c>
      <c r="B235" s="362" t="s">
        <v>1609</v>
      </c>
      <c r="C235" s="418" t="s">
        <v>1603</v>
      </c>
      <c r="D235" s="419" t="s">
        <v>1603</v>
      </c>
      <c r="E235" s="456" t="s">
        <v>1610</v>
      </c>
      <c r="F235" s="429" t="s">
        <v>1611</v>
      </c>
      <c r="G235" s="456" t="s">
        <v>499</v>
      </c>
      <c r="H235" s="362" t="s">
        <v>1612</v>
      </c>
      <c r="I235" s="362" t="s">
        <v>1607</v>
      </c>
      <c r="J235" s="362" t="s">
        <v>1608</v>
      </c>
      <c r="K235" s="378"/>
      <c r="L235" s="456" t="s">
        <v>1357</v>
      </c>
    </row>
    <row r="236" spans="1:12" ht="75">
      <c r="A236" s="417">
        <v>231</v>
      </c>
      <c r="B236" s="362" t="s">
        <v>1613</v>
      </c>
      <c r="C236" s="418" t="s">
        <v>1366</v>
      </c>
      <c r="D236" s="419" t="s">
        <v>1366</v>
      </c>
      <c r="E236" s="456" t="s">
        <v>1614</v>
      </c>
      <c r="F236" s="429" t="s">
        <v>1615</v>
      </c>
      <c r="G236" s="456" t="s">
        <v>499</v>
      </c>
      <c r="H236" s="472">
        <v>99303.09</v>
      </c>
      <c r="I236" s="362" t="s">
        <v>1616</v>
      </c>
      <c r="J236" s="362" t="s">
        <v>1617</v>
      </c>
      <c r="K236" s="406" t="s">
        <v>1618</v>
      </c>
      <c r="L236" s="456" t="s">
        <v>1357</v>
      </c>
    </row>
    <row r="237" spans="1:12" ht="90">
      <c r="A237" s="417">
        <v>232</v>
      </c>
      <c r="B237" s="362" t="s">
        <v>1619</v>
      </c>
      <c r="C237" s="418" t="s">
        <v>529</v>
      </c>
      <c r="D237" s="419" t="s">
        <v>529</v>
      </c>
      <c r="E237" s="456" t="s">
        <v>1620</v>
      </c>
      <c r="F237" s="429" t="s">
        <v>1621</v>
      </c>
      <c r="G237" s="456" t="s">
        <v>499</v>
      </c>
      <c r="H237" s="362" t="s">
        <v>1622</v>
      </c>
      <c r="I237" s="362" t="s">
        <v>1623</v>
      </c>
      <c r="J237" s="362" t="s">
        <v>1624</v>
      </c>
      <c r="K237" s="406" t="s">
        <v>1625</v>
      </c>
      <c r="L237" s="456" t="s">
        <v>1461</v>
      </c>
    </row>
    <row r="238" spans="1:12" ht="90">
      <c r="A238" s="417">
        <v>233</v>
      </c>
      <c r="B238" s="362" t="s">
        <v>1626</v>
      </c>
      <c r="C238" s="418" t="s">
        <v>529</v>
      </c>
      <c r="D238" s="419" t="s">
        <v>529</v>
      </c>
      <c r="E238" s="456" t="s">
        <v>1627</v>
      </c>
      <c r="F238" s="429" t="s">
        <v>1628</v>
      </c>
      <c r="G238" s="456" t="s">
        <v>499</v>
      </c>
      <c r="H238" s="477">
        <v>74261</v>
      </c>
      <c r="I238" s="362" t="s">
        <v>1623</v>
      </c>
      <c r="J238" s="362" t="s">
        <v>1624</v>
      </c>
      <c r="K238" s="406" t="s">
        <v>1625</v>
      </c>
      <c r="L238" s="456" t="s">
        <v>1461</v>
      </c>
    </row>
    <row r="239" spans="1:12" ht="75">
      <c r="A239" s="417">
        <v>234</v>
      </c>
      <c r="B239" s="362" t="s">
        <v>1629</v>
      </c>
      <c r="C239" s="418" t="s">
        <v>871</v>
      </c>
      <c r="D239" s="419" t="s">
        <v>871</v>
      </c>
      <c r="E239" s="456" t="s">
        <v>1630</v>
      </c>
      <c r="F239" s="429" t="s">
        <v>1631</v>
      </c>
      <c r="G239" s="456" t="s">
        <v>499</v>
      </c>
      <c r="H239" s="378" t="s">
        <v>1632</v>
      </c>
      <c r="I239" s="362" t="s">
        <v>1633</v>
      </c>
      <c r="J239" s="362" t="s">
        <v>1617</v>
      </c>
      <c r="K239" s="423" t="s">
        <v>1634</v>
      </c>
      <c r="L239" s="456" t="s">
        <v>511</v>
      </c>
    </row>
    <row r="240" spans="1:12" ht="75">
      <c r="A240" s="417">
        <v>235</v>
      </c>
      <c r="B240" s="362" t="s">
        <v>1635</v>
      </c>
      <c r="C240" s="418" t="s">
        <v>871</v>
      </c>
      <c r="D240" s="419" t="s">
        <v>871</v>
      </c>
      <c r="E240" s="456" t="s">
        <v>1636</v>
      </c>
      <c r="F240" s="429" t="s">
        <v>1637</v>
      </c>
      <c r="G240" s="456" t="s">
        <v>499</v>
      </c>
      <c r="H240" s="378" t="s">
        <v>1638</v>
      </c>
      <c r="I240" s="362" t="s">
        <v>1633</v>
      </c>
      <c r="J240" s="362" t="s">
        <v>1617</v>
      </c>
      <c r="K240" s="423" t="s">
        <v>1634</v>
      </c>
      <c r="L240" s="456" t="s">
        <v>511</v>
      </c>
    </row>
    <row r="241" spans="1:12" ht="75">
      <c r="A241" s="417">
        <v>236</v>
      </c>
      <c r="B241" s="362" t="s">
        <v>1639</v>
      </c>
      <c r="C241" s="418" t="s">
        <v>871</v>
      </c>
      <c r="D241" s="419" t="s">
        <v>871</v>
      </c>
      <c r="E241" s="456" t="s">
        <v>1640</v>
      </c>
      <c r="F241" s="429" t="s">
        <v>1641</v>
      </c>
      <c r="G241" s="456" t="s">
        <v>499</v>
      </c>
      <c r="H241" s="378" t="s">
        <v>1642</v>
      </c>
      <c r="I241" s="362" t="s">
        <v>1633</v>
      </c>
      <c r="J241" s="362" t="s">
        <v>1617</v>
      </c>
      <c r="K241" s="423" t="s">
        <v>1634</v>
      </c>
      <c r="L241" s="456" t="s">
        <v>511</v>
      </c>
    </row>
    <row r="242" spans="1:12" ht="90">
      <c r="A242" s="417">
        <v>237</v>
      </c>
      <c r="B242" s="362" t="s">
        <v>1643</v>
      </c>
      <c r="C242" s="418" t="s">
        <v>529</v>
      </c>
      <c r="D242" s="419" t="s">
        <v>529</v>
      </c>
      <c r="E242" s="456" t="s">
        <v>1644</v>
      </c>
      <c r="F242" s="429" t="s">
        <v>1645</v>
      </c>
      <c r="G242" s="456" t="s">
        <v>499</v>
      </c>
      <c r="H242" s="378" t="s">
        <v>1646</v>
      </c>
      <c r="I242" s="362" t="s">
        <v>1647</v>
      </c>
      <c r="J242" s="362" t="s">
        <v>1624</v>
      </c>
      <c r="K242" s="406" t="s">
        <v>1625</v>
      </c>
      <c r="L242" s="456" t="s">
        <v>1461</v>
      </c>
    </row>
    <row r="243" spans="1:12" ht="90">
      <c r="A243" s="417">
        <v>238</v>
      </c>
      <c r="B243" s="362" t="s">
        <v>1648</v>
      </c>
      <c r="C243" s="418" t="s">
        <v>529</v>
      </c>
      <c r="D243" s="419" t="s">
        <v>529</v>
      </c>
      <c r="E243" s="456" t="s">
        <v>1649</v>
      </c>
      <c r="F243" s="429" t="s">
        <v>1650</v>
      </c>
      <c r="G243" s="456" t="s">
        <v>499</v>
      </c>
      <c r="H243" s="362" t="s">
        <v>1651</v>
      </c>
      <c r="I243" s="362" t="s">
        <v>1647</v>
      </c>
      <c r="J243" s="362" t="s">
        <v>1624</v>
      </c>
      <c r="K243" s="406" t="s">
        <v>1625</v>
      </c>
      <c r="L243" s="456" t="s">
        <v>1461</v>
      </c>
    </row>
  </sheetData>
  <autoFilter ref="A4:M243">
    <filterColumn colId="3">
      <filters>
        <filter val="01.03.2018"/>
        <filter val="01.09.2017"/>
        <filter val="03.03.2018"/>
        <filter val="05.02.2018"/>
        <filter val="05.03.2018"/>
        <filter val="05.12.2017"/>
        <filter val="06.03.2018"/>
        <filter val="07.02.2018"/>
        <filter val="09.02.2018"/>
        <filter val="11.12.2017"/>
        <filter val="12.02.2018"/>
        <filter val="15.02.2018"/>
        <filter val="15.09.2017"/>
        <filter val="16.02.2018"/>
        <filter val="16.12.2017"/>
        <filter val="17.01.2018"/>
        <filter val="17.02.2018"/>
        <filter val="19.02.2018"/>
        <filter val="20.02.2018"/>
        <filter val="21.02.2018"/>
        <filter val="22.02.2018"/>
        <filter val="23.10.2017"/>
        <filter val="24.01.2018"/>
        <filter val="24.08.2017"/>
        <filter val="25.01.2018"/>
        <filter val="25.09.2017"/>
        <filter val="26.02.2018"/>
        <filter val="26.09.2017"/>
        <filter val="28.02.2018"/>
        <filter val="29.08.2017"/>
        <filter val="30.11.2017"/>
      </filters>
    </filterColumn>
  </autoFilter>
  <mergeCells count="1">
    <mergeCell ref="B2:I2"/>
  </mergeCells>
  <pageMargins left="0" right="0" top="7.0000000000000007E-2" bottom="0" header="0.2" footer="0.2"/>
  <pageSetup paperSize="9" scale="85" orientation="landscape" r:id="rId1"/>
</worksheet>
</file>

<file path=xl/worksheets/sheet28.xml><?xml version="1.0" encoding="utf-8"?>
<worksheet xmlns="http://schemas.openxmlformats.org/spreadsheetml/2006/main" xmlns:r="http://schemas.openxmlformats.org/officeDocument/2006/relationships">
  <dimension ref="A1:G11"/>
  <sheetViews>
    <sheetView workbookViewId="0">
      <selection activeCell="E25" sqref="E25"/>
    </sheetView>
  </sheetViews>
  <sheetFormatPr defaultColWidth="9.140625" defaultRowHeight="15"/>
  <cols>
    <col min="1" max="1" width="9.140625" style="394"/>
    <col min="2" max="2" width="34.140625" style="394" bestFit="1" customWidth="1"/>
    <col min="3" max="3" width="22.28515625" style="394" bestFit="1" customWidth="1"/>
    <col min="4" max="4" width="18.42578125" style="394" bestFit="1" customWidth="1"/>
    <col min="5" max="5" width="32.42578125" style="394" bestFit="1" customWidth="1"/>
    <col min="6" max="6" width="20.5703125" style="394" bestFit="1" customWidth="1"/>
    <col min="7" max="16384" width="9.140625" style="394"/>
  </cols>
  <sheetData>
    <row r="1" spans="1:7">
      <c r="D1" s="394" t="s">
        <v>1665</v>
      </c>
    </row>
    <row r="2" spans="1:7">
      <c r="A2" s="394" t="s">
        <v>311</v>
      </c>
      <c r="B2" s="394" t="s">
        <v>312</v>
      </c>
      <c r="C2" s="394" t="s">
        <v>313</v>
      </c>
      <c r="D2" s="394" t="s">
        <v>1653</v>
      </c>
      <c r="E2" s="394" t="s">
        <v>1654</v>
      </c>
      <c r="F2" s="394" t="s">
        <v>1655</v>
      </c>
      <c r="G2" s="394" t="s">
        <v>1666</v>
      </c>
    </row>
    <row r="3" spans="1:7">
      <c r="A3" s="394">
        <v>1</v>
      </c>
      <c r="B3" s="394" t="s">
        <v>1656</v>
      </c>
      <c r="C3" s="394" t="s">
        <v>300</v>
      </c>
      <c r="D3" s="394" t="s">
        <v>1657</v>
      </c>
      <c r="E3" s="394" t="s">
        <v>303</v>
      </c>
      <c r="F3" s="394" t="s">
        <v>304</v>
      </c>
    </row>
    <row r="4" spans="1:7">
      <c r="E4" s="394" t="s">
        <v>1658</v>
      </c>
    </row>
    <row r="6" spans="1:7">
      <c r="A6" s="394">
        <v>2</v>
      </c>
      <c r="B6" s="394" t="s">
        <v>300</v>
      </c>
      <c r="C6" s="394" t="s">
        <v>1659</v>
      </c>
      <c r="E6" s="394" t="s">
        <v>308</v>
      </c>
      <c r="F6" s="394" t="s">
        <v>306</v>
      </c>
    </row>
    <row r="7" spans="1:7">
      <c r="E7" s="394" t="s">
        <v>1660</v>
      </c>
    </row>
    <row r="8" spans="1:7">
      <c r="E8" s="394" t="s">
        <v>1661</v>
      </c>
    </row>
    <row r="10" spans="1:7">
      <c r="A10" s="394">
        <v>3</v>
      </c>
      <c r="B10" s="394" t="s">
        <v>1662</v>
      </c>
      <c r="C10" s="394" t="s">
        <v>300</v>
      </c>
      <c r="E10" s="394" t="s">
        <v>309</v>
      </c>
      <c r="F10" s="394" t="s">
        <v>307</v>
      </c>
    </row>
    <row r="11" spans="1:7">
      <c r="E11" s="394" t="s">
        <v>1663</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G52"/>
  <sheetViews>
    <sheetView workbookViewId="0">
      <selection activeCell="D23" sqref="D23"/>
    </sheetView>
  </sheetViews>
  <sheetFormatPr defaultRowHeight="15"/>
  <cols>
    <col min="1" max="1" width="6.85546875" style="394" bestFit="1" customWidth="1"/>
    <col min="2" max="2" width="32.42578125" style="394" customWidth="1"/>
    <col min="3" max="3" width="24.140625" style="394" customWidth="1"/>
    <col min="4" max="4" width="33.42578125" style="394" bestFit="1" customWidth="1"/>
    <col min="5" max="5" width="34.85546875" style="394" customWidth="1"/>
    <col min="6" max="6" width="9.140625" style="394"/>
    <col min="7" max="7" width="8.7109375" style="394" bestFit="1" customWidth="1"/>
    <col min="8" max="256" width="9.140625" style="394"/>
    <col min="257" max="257" width="6.85546875" style="394" bestFit="1" customWidth="1"/>
    <col min="258" max="258" width="32.42578125" style="394" customWidth="1"/>
    <col min="259" max="259" width="24.140625" style="394" customWidth="1"/>
    <col min="260" max="260" width="33.42578125" style="394" bestFit="1" customWidth="1"/>
    <col min="261" max="261" width="34.85546875" style="394" customWidth="1"/>
    <col min="262" max="512" width="9.140625" style="394"/>
    <col min="513" max="513" width="6.85546875" style="394" bestFit="1" customWidth="1"/>
    <col min="514" max="514" width="32.42578125" style="394" customWidth="1"/>
    <col min="515" max="515" width="24.140625" style="394" customWidth="1"/>
    <col min="516" max="516" width="33.42578125" style="394" bestFit="1" customWidth="1"/>
    <col min="517" max="517" width="34.85546875" style="394" customWidth="1"/>
    <col min="518" max="768" width="9.140625" style="394"/>
    <col min="769" max="769" width="6.85546875" style="394" bestFit="1" customWidth="1"/>
    <col min="770" max="770" width="32.42578125" style="394" customWidth="1"/>
    <col min="771" max="771" width="24.140625" style="394" customWidth="1"/>
    <col min="772" max="772" width="33.42578125" style="394" bestFit="1" customWidth="1"/>
    <col min="773" max="773" width="34.85546875" style="394" customWidth="1"/>
    <col min="774" max="1024" width="9.140625" style="394"/>
    <col min="1025" max="1025" width="6.85546875" style="394" bestFit="1" customWidth="1"/>
    <col min="1026" max="1026" width="32.42578125" style="394" customWidth="1"/>
    <col min="1027" max="1027" width="24.140625" style="394" customWidth="1"/>
    <col min="1028" max="1028" width="33.42578125" style="394" bestFit="1" customWidth="1"/>
    <col min="1029" max="1029" width="34.85546875" style="394" customWidth="1"/>
    <col min="1030" max="1280" width="9.140625" style="394"/>
    <col min="1281" max="1281" width="6.85546875" style="394" bestFit="1" customWidth="1"/>
    <col min="1282" max="1282" width="32.42578125" style="394" customWidth="1"/>
    <col min="1283" max="1283" width="24.140625" style="394" customWidth="1"/>
    <col min="1284" max="1284" width="33.42578125" style="394" bestFit="1" customWidth="1"/>
    <col min="1285" max="1285" width="34.85546875" style="394" customWidth="1"/>
    <col min="1286" max="1536" width="9.140625" style="394"/>
    <col min="1537" max="1537" width="6.85546875" style="394" bestFit="1" customWidth="1"/>
    <col min="1538" max="1538" width="32.42578125" style="394" customWidth="1"/>
    <col min="1539" max="1539" width="24.140625" style="394" customWidth="1"/>
    <col min="1540" max="1540" width="33.42578125" style="394" bestFit="1" customWidth="1"/>
    <col min="1541" max="1541" width="34.85546875" style="394" customWidth="1"/>
    <col min="1542" max="1792" width="9.140625" style="394"/>
    <col min="1793" max="1793" width="6.85546875" style="394" bestFit="1" customWidth="1"/>
    <col min="1794" max="1794" width="32.42578125" style="394" customWidth="1"/>
    <col min="1795" max="1795" width="24.140625" style="394" customWidth="1"/>
    <col min="1796" max="1796" width="33.42578125" style="394" bestFit="1" customWidth="1"/>
    <col min="1797" max="1797" width="34.85546875" style="394" customWidth="1"/>
    <col min="1798" max="2048" width="9.140625" style="394"/>
    <col min="2049" max="2049" width="6.85546875" style="394" bestFit="1" customWidth="1"/>
    <col min="2050" max="2050" width="32.42578125" style="394" customWidth="1"/>
    <col min="2051" max="2051" width="24.140625" style="394" customWidth="1"/>
    <col min="2052" max="2052" width="33.42578125" style="394" bestFit="1" customWidth="1"/>
    <col min="2053" max="2053" width="34.85546875" style="394" customWidth="1"/>
    <col min="2054" max="2304" width="9.140625" style="394"/>
    <col min="2305" max="2305" width="6.85546875" style="394" bestFit="1" customWidth="1"/>
    <col min="2306" max="2306" width="32.42578125" style="394" customWidth="1"/>
    <col min="2307" max="2307" width="24.140625" style="394" customWidth="1"/>
    <col min="2308" max="2308" width="33.42578125" style="394" bestFit="1" customWidth="1"/>
    <col min="2309" max="2309" width="34.85546875" style="394" customWidth="1"/>
    <col min="2310" max="2560" width="9.140625" style="394"/>
    <col min="2561" max="2561" width="6.85546875" style="394" bestFit="1" customWidth="1"/>
    <col min="2562" max="2562" width="32.42578125" style="394" customWidth="1"/>
    <col min="2563" max="2563" width="24.140625" style="394" customWidth="1"/>
    <col min="2564" max="2564" width="33.42578125" style="394" bestFit="1" customWidth="1"/>
    <col min="2565" max="2565" width="34.85546875" style="394" customWidth="1"/>
    <col min="2566" max="2816" width="9.140625" style="394"/>
    <col min="2817" max="2817" width="6.85546875" style="394" bestFit="1" customWidth="1"/>
    <col min="2818" max="2818" width="32.42578125" style="394" customWidth="1"/>
    <col min="2819" max="2819" width="24.140625" style="394" customWidth="1"/>
    <col min="2820" max="2820" width="33.42578125" style="394" bestFit="1" customWidth="1"/>
    <col min="2821" max="2821" width="34.85546875" style="394" customWidth="1"/>
    <col min="2822" max="3072" width="9.140625" style="394"/>
    <col min="3073" max="3073" width="6.85546875" style="394" bestFit="1" customWidth="1"/>
    <col min="3074" max="3074" width="32.42578125" style="394" customWidth="1"/>
    <col min="3075" max="3075" width="24.140625" style="394" customWidth="1"/>
    <col min="3076" max="3076" width="33.42578125" style="394" bestFit="1" customWidth="1"/>
    <col min="3077" max="3077" width="34.85546875" style="394" customWidth="1"/>
    <col min="3078" max="3328" width="9.140625" style="394"/>
    <col min="3329" max="3329" width="6.85546875" style="394" bestFit="1" customWidth="1"/>
    <col min="3330" max="3330" width="32.42578125" style="394" customWidth="1"/>
    <col min="3331" max="3331" width="24.140625" style="394" customWidth="1"/>
    <col min="3332" max="3332" width="33.42578125" style="394" bestFit="1" customWidth="1"/>
    <col min="3333" max="3333" width="34.85546875" style="394" customWidth="1"/>
    <col min="3334" max="3584" width="9.140625" style="394"/>
    <col min="3585" max="3585" width="6.85546875" style="394" bestFit="1" customWidth="1"/>
    <col min="3586" max="3586" width="32.42578125" style="394" customWidth="1"/>
    <col min="3587" max="3587" width="24.140625" style="394" customWidth="1"/>
    <col min="3588" max="3588" width="33.42578125" style="394" bestFit="1" customWidth="1"/>
    <col min="3589" max="3589" width="34.85546875" style="394" customWidth="1"/>
    <col min="3590" max="3840" width="9.140625" style="394"/>
    <col min="3841" max="3841" width="6.85546875" style="394" bestFit="1" customWidth="1"/>
    <col min="3842" max="3842" width="32.42578125" style="394" customWidth="1"/>
    <col min="3843" max="3843" width="24.140625" style="394" customWidth="1"/>
    <col min="3844" max="3844" width="33.42578125" style="394" bestFit="1" customWidth="1"/>
    <col min="3845" max="3845" width="34.85546875" style="394" customWidth="1"/>
    <col min="3846" max="4096" width="9.140625" style="394"/>
    <col min="4097" max="4097" width="6.85546875" style="394" bestFit="1" customWidth="1"/>
    <col min="4098" max="4098" width="32.42578125" style="394" customWidth="1"/>
    <col min="4099" max="4099" width="24.140625" style="394" customWidth="1"/>
    <col min="4100" max="4100" width="33.42578125" style="394" bestFit="1" customWidth="1"/>
    <col min="4101" max="4101" width="34.85546875" style="394" customWidth="1"/>
    <col min="4102" max="4352" width="9.140625" style="394"/>
    <col min="4353" max="4353" width="6.85546875" style="394" bestFit="1" customWidth="1"/>
    <col min="4354" max="4354" width="32.42578125" style="394" customWidth="1"/>
    <col min="4355" max="4355" width="24.140625" style="394" customWidth="1"/>
    <col min="4356" max="4356" width="33.42578125" style="394" bestFit="1" customWidth="1"/>
    <col min="4357" max="4357" width="34.85546875" style="394" customWidth="1"/>
    <col min="4358" max="4608" width="9.140625" style="394"/>
    <col min="4609" max="4609" width="6.85546875" style="394" bestFit="1" customWidth="1"/>
    <col min="4610" max="4610" width="32.42578125" style="394" customWidth="1"/>
    <col min="4611" max="4611" width="24.140625" style="394" customWidth="1"/>
    <col min="4612" max="4612" width="33.42578125" style="394" bestFit="1" customWidth="1"/>
    <col min="4613" max="4613" width="34.85546875" style="394" customWidth="1"/>
    <col min="4614" max="4864" width="9.140625" style="394"/>
    <col min="4865" max="4865" width="6.85546875" style="394" bestFit="1" customWidth="1"/>
    <col min="4866" max="4866" width="32.42578125" style="394" customWidth="1"/>
    <col min="4867" max="4867" width="24.140625" style="394" customWidth="1"/>
    <col min="4868" max="4868" width="33.42578125" style="394" bestFit="1" customWidth="1"/>
    <col min="4869" max="4869" width="34.85546875" style="394" customWidth="1"/>
    <col min="4870" max="5120" width="9.140625" style="394"/>
    <col min="5121" max="5121" width="6.85546875" style="394" bestFit="1" customWidth="1"/>
    <col min="5122" max="5122" width="32.42578125" style="394" customWidth="1"/>
    <col min="5123" max="5123" width="24.140625" style="394" customWidth="1"/>
    <col min="5124" max="5124" width="33.42578125" style="394" bestFit="1" customWidth="1"/>
    <col min="5125" max="5125" width="34.85546875" style="394" customWidth="1"/>
    <col min="5126" max="5376" width="9.140625" style="394"/>
    <col min="5377" max="5377" width="6.85546875" style="394" bestFit="1" customWidth="1"/>
    <col min="5378" max="5378" width="32.42578125" style="394" customWidth="1"/>
    <col min="5379" max="5379" width="24.140625" style="394" customWidth="1"/>
    <col min="5380" max="5380" width="33.42578125" style="394" bestFit="1" customWidth="1"/>
    <col min="5381" max="5381" width="34.85546875" style="394" customWidth="1"/>
    <col min="5382" max="5632" width="9.140625" style="394"/>
    <col min="5633" max="5633" width="6.85546875" style="394" bestFit="1" customWidth="1"/>
    <col min="5634" max="5634" width="32.42578125" style="394" customWidth="1"/>
    <col min="5635" max="5635" width="24.140625" style="394" customWidth="1"/>
    <col min="5636" max="5636" width="33.42578125" style="394" bestFit="1" customWidth="1"/>
    <col min="5637" max="5637" width="34.85546875" style="394" customWidth="1"/>
    <col min="5638" max="5888" width="9.140625" style="394"/>
    <col min="5889" max="5889" width="6.85546875" style="394" bestFit="1" customWidth="1"/>
    <col min="5890" max="5890" width="32.42578125" style="394" customWidth="1"/>
    <col min="5891" max="5891" width="24.140625" style="394" customWidth="1"/>
    <col min="5892" max="5892" width="33.42578125" style="394" bestFit="1" customWidth="1"/>
    <col min="5893" max="5893" width="34.85546875" style="394" customWidth="1"/>
    <col min="5894" max="6144" width="9.140625" style="394"/>
    <col min="6145" max="6145" width="6.85546875" style="394" bestFit="1" customWidth="1"/>
    <col min="6146" max="6146" width="32.42578125" style="394" customWidth="1"/>
    <col min="6147" max="6147" width="24.140625" style="394" customWidth="1"/>
    <col min="6148" max="6148" width="33.42578125" style="394" bestFit="1" customWidth="1"/>
    <col min="6149" max="6149" width="34.85546875" style="394" customWidth="1"/>
    <col min="6150" max="6400" width="9.140625" style="394"/>
    <col min="6401" max="6401" width="6.85546875" style="394" bestFit="1" customWidth="1"/>
    <col min="6402" max="6402" width="32.42578125" style="394" customWidth="1"/>
    <col min="6403" max="6403" width="24.140625" style="394" customWidth="1"/>
    <col min="6404" max="6404" width="33.42578125" style="394" bestFit="1" customWidth="1"/>
    <col min="6405" max="6405" width="34.85546875" style="394" customWidth="1"/>
    <col min="6406" max="6656" width="9.140625" style="394"/>
    <col min="6657" max="6657" width="6.85546875" style="394" bestFit="1" customWidth="1"/>
    <col min="6658" max="6658" width="32.42578125" style="394" customWidth="1"/>
    <col min="6659" max="6659" width="24.140625" style="394" customWidth="1"/>
    <col min="6660" max="6660" width="33.42578125" style="394" bestFit="1" customWidth="1"/>
    <col min="6661" max="6661" width="34.85546875" style="394" customWidth="1"/>
    <col min="6662" max="6912" width="9.140625" style="394"/>
    <col min="6913" max="6913" width="6.85546875" style="394" bestFit="1" customWidth="1"/>
    <col min="6914" max="6914" width="32.42578125" style="394" customWidth="1"/>
    <col min="6915" max="6915" width="24.140625" style="394" customWidth="1"/>
    <col min="6916" max="6916" width="33.42578125" style="394" bestFit="1" customWidth="1"/>
    <col min="6917" max="6917" width="34.85546875" style="394" customWidth="1"/>
    <col min="6918" max="7168" width="9.140625" style="394"/>
    <col min="7169" max="7169" width="6.85546875" style="394" bestFit="1" customWidth="1"/>
    <col min="7170" max="7170" width="32.42578125" style="394" customWidth="1"/>
    <col min="7171" max="7171" width="24.140625" style="394" customWidth="1"/>
    <col min="7172" max="7172" width="33.42578125" style="394" bestFit="1" customWidth="1"/>
    <col min="7173" max="7173" width="34.85546875" style="394" customWidth="1"/>
    <col min="7174" max="7424" width="9.140625" style="394"/>
    <col min="7425" max="7425" width="6.85546875" style="394" bestFit="1" customWidth="1"/>
    <col min="7426" max="7426" width="32.42578125" style="394" customWidth="1"/>
    <col min="7427" max="7427" width="24.140625" style="394" customWidth="1"/>
    <col min="7428" max="7428" width="33.42578125" style="394" bestFit="1" customWidth="1"/>
    <col min="7429" max="7429" width="34.85546875" style="394" customWidth="1"/>
    <col min="7430" max="7680" width="9.140625" style="394"/>
    <col min="7681" max="7681" width="6.85546875" style="394" bestFit="1" customWidth="1"/>
    <col min="7682" max="7682" width="32.42578125" style="394" customWidth="1"/>
    <col min="7683" max="7683" width="24.140625" style="394" customWidth="1"/>
    <col min="7684" max="7684" width="33.42578125" style="394" bestFit="1" customWidth="1"/>
    <col min="7685" max="7685" width="34.85546875" style="394" customWidth="1"/>
    <col min="7686" max="7936" width="9.140625" style="394"/>
    <col min="7937" max="7937" width="6.85546875" style="394" bestFit="1" customWidth="1"/>
    <col min="7938" max="7938" width="32.42578125" style="394" customWidth="1"/>
    <col min="7939" max="7939" width="24.140625" style="394" customWidth="1"/>
    <col min="7940" max="7940" width="33.42578125" style="394" bestFit="1" customWidth="1"/>
    <col min="7941" max="7941" width="34.85546875" style="394" customWidth="1"/>
    <col min="7942" max="8192" width="9.140625" style="394"/>
    <col min="8193" max="8193" width="6.85546875" style="394" bestFit="1" customWidth="1"/>
    <col min="8194" max="8194" width="32.42578125" style="394" customWidth="1"/>
    <col min="8195" max="8195" width="24.140625" style="394" customWidth="1"/>
    <col min="8196" max="8196" width="33.42578125" style="394" bestFit="1" customWidth="1"/>
    <col min="8197" max="8197" width="34.85546875" style="394" customWidth="1"/>
    <col min="8198" max="8448" width="9.140625" style="394"/>
    <col min="8449" max="8449" width="6.85546875" style="394" bestFit="1" customWidth="1"/>
    <col min="8450" max="8450" width="32.42578125" style="394" customWidth="1"/>
    <col min="8451" max="8451" width="24.140625" style="394" customWidth="1"/>
    <col min="8452" max="8452" width="33.42578125" style="394" bestFit="1" customWidth="1"/>
    <col min="8453" max="8453" width="34.85546875" style="394" customWidth="1"/>
    <col min="8454" max="8704" width="9.140625" style="394"/>
    <col min="8705" max="8705" width="6.85546875" style="394" bestFit="1" customWidth="1"/>
    <col min="8706" max="8706" width="32.42578125" style="394" customWidth="1"/>
    <col min="8707" max="8707" width="24.140625" style="394" customWidth="1"/>
    <col min="8708" max="8708" width="33.42578125" style="394" bestFit="1" customWidth="1"/>
    <col min="8709" max="8709" width="34.85546875" style="394" customWidth="1"/>
    <col min="8710" max="8960" width="9.140625" style="394"/>
    <col min="8961" max="8961" width="6.85546875" style="394" bestFit="1" customWidth="1"/>
    <col min="8962" max="8962" width="32.42578125" style="394" customWidth="1"/>
    <col min="8963" max="8963" width="24.140625" style="394" customWidth="1"/>
    <col min="8964" max="8964" width="33.42578125" style="394" bestFit="1" customWidth="1"/>
    <col min="8965" max="8965" width="34.85546875" style="394" customWidth="1"/>
    <col min="8966" max="9216" width="9.140625" style="394"/>
    <col min="9217" max="9217" width="6.85546875" style="394" bestFit="1" customWidth="1"/>
    <col min="9218" max="9218" width="32.42578125" style="394" customWidth="1"/>
    <col min="9219" max="9219" width="24.140625" style="394" customWidth="1"/>
    <col min="9220" max="9220" width="33.42578125" style="394" bestFit="1" customWidth="1"/>
    <col min="9221" max="9221" width="34.85546875" style="394" customWidth="1"/>
    <col min="9222" max="9472" width="9.140625" style="394"/>
    <col min="9473" max="9473" width="6.85546875" style="394" bestFit="1" customWidth="1"/>
    <col min="9474" max="9474" width="32.42578125" style="394" customWidth="1"/>
    <col min="9475" max="9475" width="24.140625" style="394" customWidth="1"/>
    <col min="9476" max="9476" width="33.42578125" style="394" bestFit="1" customWidth="1"/>
    <col min="9477" max="9477" width="34.85546875" style="394" customWidth="1"/>
    <col min="9478" max="9728" width="9.140625" style="394"/>
    <col min="9729" max="9729" width="6.85546875" style="394" bestFit="1" customWidth="1"/>
    <col min="9730" max="9730" width="32.42578125" style="394" customWidth="1"/>
    <col min="9731" max="9731" width="24.140625" style="394" customWidth="1"/>
    <col min="9732" max="9732" width="33.42578125" style="394" bestFit="1" customWidth="1"/>
    <col min="9733" max="9733" width="34.85546875" style="394" customWidth="1"/>
    <col min="9734" max="9984" width="9.140625" style="394"/>
    <col min="9985" max="9985" width="6.85546875" style="394" bestFit="1" customWidth="1"/>
    <col min="9986" max="9986" width="32.42578125" style="394" customWidth="1"/>
    <col min="9987" max="9987" width="24.140625" style="394" customWidth="1"/>
    <col min="9988" max="9988" width="33.42578125" style="394" bestFit="1" customWidth="1"/>
    <col min="9989" max="9989" width="34.85546875" style="394" customWidth="1"/>
    <col min="9990" max="10240" width="9.140625" style="394"/>
    <col min="10241" max="10241" width="6.85546875" style="394" bestFit="1" customWidth="1"/>
    <col min="10242" max="10242" width="32.42578125" style="394" customWidth="1"/>
    <col min="10243" max="10243" width="24.140625" style="394" customWidth="1"/>
    <col min="10244" max="10244" width="33.42578125" style="394" bestFit="1" customWidth="1"/>
    <col min="10245" max="10245" width="34.85546875" style="394" customWidth="1"/>
    <col min="10246" max="10496" width="9.140625" style="394"/>
    <col min="10497" max="10497" width="6.85546875" style="394" bestFit="1" customWidth="1"/>
    <col min="10498" max="10498" width="32.42578125" style="394" customWidth="1"/>
    <col min="10499" max="10499" width="24.140625" style="394" customWidth="1"/>
    <col min="10500" max="10500" width="33.42578125" style="394" bestFit="1" customWidth="1"/>
    <col min="10501" max="10501" width="34.85546875" style="394" customWidth="1"/>
    <col min="10502" max="10752" width="9.140625" style="394"/>
    <col min="10753" max="10753" width="6.85546875" style="394" bestFit="1" customWidth="1"/>
    <col min="10754" max="10754" width="32.42578125" style="394" customWidth="1"/>
    <col min="10755" max="10755" width="24.140625" style="394" customWidth="1"/>
    <col min="10756" max="10756" width="33.42578125" style="394" bestFit="1" customWidth="1"/>
    <col min="10757" max="10757" width="34.85546875" style="394" customWidth="1"/>
    <col min="10758" max="11008" width="9.140625" style="394"/>
    <col min="11009" max="11009" width="6.85546875" style="394" bestFit="1" customWidth="1"/>
    <col min="11010" max="11010" width="32.42578125" style="394" customWidth="1"/>
    <col min="11011" max="11011" width="24.140625" style="394" customWidth="1"/>
    <col min="11012" max="11012" width="33.42578125" style="394" bestFit="1" customWidth="1"/>
    <col min="11013" max="11013" width="34.85546875" style="394" customWidth="1"/>
    <col min="11014" max="11264" width="9.140625" style="394"/>
    <col min="11265" max="11265" width="6.85546875" style="394" bestFit="1" customWidth="1"/>
    <col min="11266" max="11266" width="32.42578125" style="394" customWidth="1"/>
    <col min="11267" max="11267" width="24.140625" style="394" customWidth="1"/>
    <col min="11268" max="11268" width="33.42578125" style="394" bestFit="1" customWidth="1"/>
    <col min="11269" max="11269" width="34.85546875" style="394" customWidth="1"/>
    <col min="11270" max="11520" width="9.140625" style="394"/>
    <col min="11521" max="11521" width="6.85546875" style="394" bestFit="1" customWidth="1"/>
    <col min="11522" max="11522" width="32.42578125" style="394" customWidth="1"/>
    <col min="11523" max="11523" width="24.140625" style="394" customWidth="1"/>
    <col min="11524" max="11524" width="33.42578125" style="394" bestFit="1" customWidth="1"/>
    <col min="11525" max="11525" width="34.85546875" style="394" customWidth="1"/>
    <col min="11526" max="11776" width="9.140625" style="394"/>
    <col min="11777" max="11777" width="6.85546875" style="394" bestFit="1" customWidth="1"/>
    <col min="11778" max="11778" width="32.42578125" style="394" customWidth="1"/>
    <col min="11779" max="11779" width="24.140625" style="394" customWidth="1"/>
    <col min="11780" max="11780" width="33.42578125" style="394" bestFit="1" customWidth="1"/>
    <col min="11781" max="11781" width="34.85546875" style="394" customWidth="1"/>
    <col min="11782" max="12032" width="9.140625" style="394"/>
    <col min="12033" max="12033" width="6.85546875" style="394" bestFit="1" customWidth="1"/>
    <col min="12034" max="12034" width="32.42578125" style="394" customWidth="1"/>
    <col min="12035" max="12035" width="24.140625" style="394" customWidth="1"/>
    <col min="12036" max="12036" width="33.42578125" style="394" bestFit="1" customWidth="1"/>
    <col min="12037" max="12037" width="34.85546875" style="394" customWidth="1"/>
    <col min="12038" max="12288" width="9.140625" style="394"/>
    <col min="12289" max="12289" width="6.85546875" style="394" bestFit="1" customWidth="1"/>
    <col min="12290" max="12290" width="32.42578125" style="394" customWidth="1"/>
    <col min="12291" max="12291" width="24.140625" style="394" customWidth="1"/>
    <col min="12292" max="12292" width="33.42578125" style="394" bestFit="1" customWidth="1"/>
    <col min="12293" max="12293" width="34.85546875" style="394" customWidth="1"/>
    <col min="12294" max="12544" width="9.140625" style="394"/>
    <col min="12545" max="12545" width="6.85546875" style="394" bestFit="1" customWidth="1"/>
    <col min="12546" max="12546" width="32.42578125" style="394" customWidth="1"/>
    <col min="12547" max="12547" width="24.140625" style="394" customWidth="1"/>
    <col min="12548" max="12548" width="33.42578125" style="394" bestFit="1" customWidth="1"/>
    <col min="12549" max="12549" width="34.85546875" style="394" customWidth="1"/>
    <col min="12550" max="12800" width="9.140625" style="394"/>
    <col min="12801" max="12801" width="6.85546875" style="394" bestFit="1" customWidth="1"/>
    <col min="12802" max="12802" width="32.42578125" style="394" customWidth="1"/>
    <col min="12803" max="12803" width="24.140625" style="394" customWidth="1"/>
    <col min="12804" max="12804" width="33.42578125" style="394" bestFit="1" customWidth="1"/>
    <col min="12805" max="12805" width="34.85546875" style="394" customWidth="1"/>
    <col min="12806" max="13056" width="9.140625" style="394"/>
    <col min="13057" max="13057" width="6.85546875" style="394" bestFit="1" customWidth="1"/>
    <col min="13058" max="13058" width="32.42578125" style="394" customWidth="1"/>
    <col min="13059" max="13059" width="24.140625" style="394" customWidth="1"/>
    <col min="13060" max="13060" width="33.42578125" style="394" bestFit="1" customWidth="1"/>
    <col min="13061" max="13061" width="34.85546875" style="394" customWidth="1"/>
    <col min="13062" max="13312" width="9.140625" style="394"/>
    <col min="13313" max="13313" width="6.85546875" style="394" bestFit="1" customWidth="1"/>
    <col min="13314" max="13314" width="32.42578125" style="394" customWidth="1"/>
    <col min="13315" max="13315" width="24.140625" style="394" customWidth="1"/>
    <col min="13316" max="13316" width="33.42578125" style="394" bestFit="1" customWidth="1"/>
    <col min="13317" max="13317" width="34.85546875" style="394" customWidth="1"/>
    <col min="13318" max="13568" width="9.140625" style="394"/>
    <col min="13569" max="13569" width="6.85546875" style="394" bestFit="1" customWidth="1"/>
    <col min="13570" max="13570" width="32.42578125" style="394" customWidth="1"/>
    <col min="13571" max="13571" width="24.140625" style="394" customWidth="1"/>
    <col min="13572" max="13572" width="33.42578125" style="394" bestFit="1" customWidth="1"/>
    <col min="13573" max="13573" width="34.85546875" style="394" customWidth="1"/>
    <col min="13574" max="13824" width="9.140625" style="394"/>
    <col min="13825" max="13825" width="6.85546875" style="394" bestFit="1" customWidth="1"/>
    <col min="13826" max="13826" width="32.42578125" style="394" customWidth="1"/>
    <col min="13827" max="13827" width="24.140625" style="394" customWidth="1"/>
    <col min="13828" max="13828" width="33.42578125" style="394" bestFit="1" customWidth="1"/>
    <col min="13829" max="13829" width="34.85546875" style="394" customWidth="1"/>
    <col min="13830" max="14080" width="9.140625" style="394"/>
    <col min="14081" max="14081" width="6.85546875" style="394" bestFit="1" customWidth="1"/>
    <col min="14082" max="14082" width="32.42578125" style="394" customWidth="1"/>
    <col min="14083" max="14083" width="24.140625" style="394" customWidth="1"/>
    <col min="14084" max="14084" width="33.42578125" style="394" bestFit="1" customWidth="1"/>
    <col min="14085" max="14085" width="34.85546875" style="394" customWidth="1"/>
    <col min="14086" max="14336" width="9.140625" style="394"/>
    <col min="14337" max="14337" width="6.85546875" style="394" bestFit="1" customWidth="1"/>
    <col min="14338" max="14338" width="32.42578125" style="394" customWidth="1"/>
    <col min="14339" max="14339" width="24.140625" style="394" customWidth="1"/>
    <col min="14340" max="14340" width="33.42578125" style="394" bestFit="1" customWidth="1"/>
    <col min="14341" max="14341" width="34.85546875" style="394" customWidth="1"/>
    <col min="14342" max="14592" width="9.140625" style="394"/>
    <col min="14593" max="14593" width="6.85546875" style="394" bestFit="1" customWidth="1"/>
    <col min="14594" max="14594" width="32.42578125" style="394" customWidth="1"/>
    <col min="14595" max="14595" width="24.140625" style="394" customWidth="1"/>
    <col min="14596" max="14596" width="33.42578125" style="394" bestFit="1" customWidth="1"/>
    <col min="14597" max="14597" width="34.85546875" style="394" customWidth="1"/>
    <col min="14598" max="14848" width="9.140625" style="394"/>
    <col min="14849" max="14849" width="6.85546875" style="394" bestFit="1" customWidth="1"/>
    <col min="14850" max="14850" width="32.42578125" style="394" customWidth="1"/>
    <col min="14851" max="14851" width="24.140625" style="394" customWidth="1"/>
    <col min="14852" max="14852" width="33.42578125" style="394" bestFit="1" customWidth="1"/>
    <col min="14853" max="14853" width="34.85546875" style="394" customWidth="1"/>
    <col min="14854" max="15104" width="9.140625" style="394"/>
    <col min="15105" max="15105" width="6.85546875" style="394" bestFit="1" customWidth="1"/>
    <col min="15106" max="15106" width="32.42578125" style="394" customWidth="1"/>
    <col min="15107" max="15107" width="24.140625" style="394" customWidth="1"/>
    <col min="15108" max="15108" width="33.42578125" style="394" bestFit="1" customWidth="1"/>
    <col min="15109" max="15109" width="34.85546875" style="394" customWidth="1"/>
    <col min="15110" max="15360" width="9.140625" style="394"/>
    <col min="15361" max="15361" width="6.85546875" style="394" bestFit="1" customWidth="1"/>
    <col min="15362" max="15362" width="32.42578125" style="394" customWidth="1"/>
    <col min="15363" max="15363" width="24.140625" style="394" customWidth="1"/>
    <col min="15364" max="15364" width="33.42578125" style="394" bestFit="1" customWidth="1"/>
    <col min="15365" max="15365" width="34.85546875" style="394" customWidth="1"/>
    <col min="15366" max="15616" width="9.140625" style="394"/>
    <col min="15617" max="15617" width="6.85546875" style="394" bestFit="1" customWidth="1"/>
    <col min="15618" max="15618" width="32.42578125" style="394" customWidth="1"/>
    <col min="15619" max="15619" width="24.140625" style="394" customWidth="1"/>
    <col min="15620" max="15620" width="33.42578125" style="394" bestFit="1" customWidth="1"/>
    <col min="15621" max="15621" width="34.85546875" style="394" customWidth="1"/>
    <col min="15622" max="15872" width="9.140625" style="394"/>
    <col min="15873" max="15873" width="6.85546875" style="394" bestFit="1" customWidth="1"/>
    <col min="15874" max="15874" width="32.42578125" style="394" customWidth="1"/>
    <col min="15875" max="15875" width="24.140625" style="394" customWidth="1"/>
    <col min="15876" max="15876" width="33.42578125" style="394" bestFit="1" customWidth="1"/>
    <col min="15877" max="15877" width="34.85546875" style="394" customWidth="1"/>
    <col min="15878" max="16128" width="9.140625" style="394"/>
    <col min="16129" max="16129" width="6.85546875" style="394" bestFit="1" customWidth="1"/>
    <col min="16130" max="16130" width="32.42578125" style="394" customWidth="1"/>
    <col min="16131" max="16131" width="24.140625" style="394" customWidth="1"/>
    <col min="16132" max="16132" width="33.42578125" style="394" bestFit="1" customWidth="1"/>
    <col min="16133" max="16133" width="34.85546875" style="394" customWidth="1"/>
    <col min="16134" max="16384" width="9.140625" style="394"/>
  </cols>
  <sheetData>
    <row r="1" spans="1:7" ht="45.75" thickBot="1">
      <c r="A1" s="335" t="s">
        <v>311</v>
      </c>
      <c r="B1" s="335" t="s">
        <v>312</v>
      </c>
      <c r="C1" s="335" t="s">
        <v>1664</v>
      </c>
      <c r="D1" s="479" t="s">
        <v>313</v>
      </c>
      <c r="E1" s="479" t="s">
        <v>314</v>
      </c>
      <c r="F1" s="490" t="s">
        <v>1665</v>
      </c>
      <c r="G1" s="490" t="s">
        <v>1667</v>
      </c>
    </row>
    <row r="2" spans="1:7">
      <c r="A2" s="336">
        <v>1</v>
      </c>
      <c r="B2" s="480" t="s">
        <v>300</v>
      </c>
      <c r="C2" s="480" t="s">
        <v>1664</v>
      </c>
      <c r="D2" s="481" t="s">
        <v>315</v>
      </c>
      <c r="E2" s="481" t="s">
        <v>316</v>
      </c>
    </row>
    <row r="3" spans="1:7">
      <c r="A3" s="337"/>
      <c r="B3" s="482" t="s">
        <v>317</v>
      </c>
      <c r="C3" s="482"/>
      <c r="D3" s="483" t="s">
        <v>318</v>
      </c>
      <c r="E3" s="483" t="s">
        <v>319</v>
      </c>
    </row>
    <row r="4" spans="1:7" ht="15.75" thickBot="1">
      <c r="A4" s="338"/>
      <c r="B4" s="484"/>
      <c r="C4" s="484"/>
      <c r="D4" s="485" t="s">
        <v>320</v>
      </c>
      <c r="E4" s="485"/>
    </row>
    <row r="5" spans="1:7">
      <c r="A5" s="336">
        <v>2</v>
      </c>
      <c r="B5" s="480" t="s">
        <v>300</v>
      </c>
      <c r="C5" s="480" t="s">
        <v>1664</v>
      </c>
      <c r="D5" s="481" t="s">
        <v>321</v>
      </c>
      <c r="E5" s="481" t="s">
        <v>316</v>
      </c>
    </row>
    <row r="6" spans="1:7">
      <c r="A6" s="337"/>
      <c r="B6" s="482" t="s">
        <v>317</v>
      </c>
      <c r="C6" s="482"/>
      <c r="D6" s="483" t="s">
        <v>322</v>
      </c>
      <c r="E6" s="483" t="s">
        <v>323</v>
      </c>
    </row>
    <row r="7" spans="1:7" ht="15.75" thickBot="1">
      <c r="A7" s="339"/>
      <c r="B7" s="486"/>
      <c r="C7" s="486"/>
      <c r="D7" s="487" t="s">
        <v>320</v>
      </c>
      <c r="E7" s="487"/>
    </row>
    <row r="8" spans="1:7">
      <c r="A8" s="336">
        <v>3</v>
      </c>
      <c r="B8" s="480" t="s">
        <v>300</v>
      </c>
      <c r="C8" s="480" t="s">
        <v>1664</v>
      </c>
      <c r="D8" s="481" t="s">
        <v>324</v>
      </c>
      <c r="E8" s="481" t="s">
        <v>316</v>
      </c>
    </row>
    <row r="9" spans="1:7">
      <c r="A9" s="337"/>
      <c r="B9" s="482" t="s">
        <v>317</v>
      </c>
      <c r="C9" s="482"/>
      <c r="D9" s="483" t="s">
        <v>325</v>
      </c>
      <c r="E9" s="483" t="s">
        <v>326</v>
      </c>
    </row>
    <row r="10" spans="1:7" ht="15.75" thickBot="1">
      <c r="A10" s="338"/>
      <c r="B10" s="484"/>
      <c r="C10" s="484"/>
      <c r="D10" s="485" t="s">
        <v>320</v>
      </c>
      <c r="E10" s="485"/>
    </row>
    <row r="11" spans="1:7">
      <c r="A11" s="336">
        <v>4</v>
      </c>
      <c r="B11" s="480" t="s">
        <v>300</v>
      </c>
      <c r="C11" s="480" t="s">
        <v>1664</v>
      </c>
      <c r="D11" s="481" t="s">
        <v>327</v>
      </c>
      <c r="E11" s="481" t="s">
        <v>316</v>
      </c>
    </row>
    <row r="12" spans="1:7">
      <c r="A12" s="337"/>
      <c r="B12" s="482" t="s">
        <v>317</v>
      </c>
      <c r="C12" s="482"/>
      <c r="D12" s="483" t="s">
        <v>328</v>
      </c>
      <c r="E12" s="483" t="s">
        <v>329</v>
      </c>
    </row>
    <row r="13" spans="1:7" ht="15.75" thickBot="1">
      <c r="A13" s="339"/>
      <c r="B13" s="486"/>
      <c r="C13" s="486"/>
      <c r="D13" s="487" t="s">
        <v>320</v>
      </c>
      <c r="E13" s="487"/>
    </row>
    <row r="14" spans="1:7">
      <c r="A14" s="336">
        <v>5</v>
      </c>
      <c r="B14" s="480" t="s">
        <v>300</v>
      </c>
      <c r="C14" s="480" t="s">
        <v>1664</v>
      </c>
      <c r="D14" s="481" t="s">
        <v>330</v>
      </c>
      <c r="E14" s="481" t="s">
        <v>316</v>
      </c>
    </row>
    <row r="15" spans="1:7">
      <c r="A15" s="337"/>
      <c r="B15" s="482" t="s">
        <v>317</v>
      </c>
      <c r="C15" s="482"/>
      <c r="D15" s="483" t="s">
        <v>331</v>
      </c>
      <c r="E15" s="483" t="s">
        <v>332</v>
      </c>
    </row>
    <row r="16" spans="1:7" ht="15.75" thickBot="1">
      <c r="A16" s="338"/>
      <c r="B16" s="484"/>
      <c r="C16" s="484"/>
      <c r="D16" s="485" t="s">
        <v>320</v>
      </c>
      <c r="E16" s="485"/>
    </row>
    <row r="17" spans="1:5">
      <c r="A17" s="336">
        <v>6</v>
      </c>
      <c r="B17" s="480" t="s">
        <v>300</v>
      </c>
      <c r="C17" s="480" t="s">
        <v>1664</v>
      </c>
      <c r="D17" s="481" t="s">
        <v>333</v>
      </c>
      <c r="E17" s="481" t="s">
        <v>316</v>
      </c>
    </row>
    <row r="18" spans="1:5">
      <c r="A18" s="337"/>
      <c r="B18" s="482" t="s">
        <v>317</v>
      </c>
      <c r="C18" s="482"/>
      <c r="D18" s="483" t="s">
        <v>334</v>
      </c>
      <c r="E18" s="483" t="s">
        <v>335</v>
      </c>
    </row>
    <row r="19" spans="1:5" ht="15.75" thickBot="1">
      <c r="A19" s="339"/>
      <c r="B19" s="486"/>
      <c r="C19" s="486"/>
      <c r="D19" s="487" t="s">
        <v>320</v>
      </c>
      <c r="E19" s="487"/>
    </row>
    <row r="20" spans="1:5">
      <c r="A20" s="336">
        <v>7</v>
      </c>
      <c r="B20" s="480" t="s">
        <v>300</v>
      </c>
      <c r="C20" s="480" t="s">
        <v>1664</v>
      </c>
      <c r="D20" s="481" t="s">
        <v>336</v>
      </c>
      <c r="E20" s="481" t="s">
        <v>316</v>
      </c>
    </row>
    <row r="21" spans="1:5">
      <c r="A21" s="337"/>
      <c r="B21" s="482" t="s">
        <v>317</v>
      </c>
      <c r="C21" s="482"/>
      <c r="D21" s="483" t="s">
        <v>337</v>
      </c>
      <c r="E21" s="483" t="s">
        <v>338</v>
      </c>
    </row>
    <row r="22" spans="1:5" ht="15.75" thickBot="1">
      <c r="A22" s="337"/>
      <c r="B22" s="484"/>
      <c r="C22" s="484"/>
      <c r="D22" s="485" t="s">
        <v>320</v>
      </c>
      <c r="E22" s="485"/>
    </row>
    <row r="23" spans="1:5">
      <c r="A23" s="336">
        <v>8</v>
      </c>
      <c r="B23" s="480" t="s">
        <v>300</v>
      </c>
      <c r="C23" s="480" t="s">
        <v>1664</v>
      </c>
      <c r="D23" s="481" t="s">
        <v>339</v>
      </c>
      <c r="E23" s="481" t="s">
        <v>316</v>
      </c>
    </row>
    <row r="24" spans="1:5">
      <c r="A24" s="337"/>
      <c r="B24" s="482" t="s">
        <v>317</v>
      </c>
      <c r="C24" s="482"/>
      <c r="D24" s="483" t="s">
        <v>325</v>
      </c>
      <c r="E24" s="483" t="s">
        <v>340</v>
      </c>
    </row>
    <row r="25" spans="1:5" ht="15.75" thickBot="1">
      <c r="A25" s="338"/>
      <c r="B25" s="484"/>
      <c r="C25" s="484"/>
      <c r="D25" s="485" t="s">
        <v>320</v>
      </c>
      <c r="E25" s="485"/>
    </row>
    <row r="26" spans="1:5">
      <c r="A26" s="336">
        <v>9</v>
      </c>
      <c r="B26" s="480" t="s">
        <v>300</v>
      </c>
      <c r="C26" s="480" t="s">
        <v>1664</v>
      </c>
      <c r="D26" s="481" t="s">
        <v>341</v>
      </c>
      <c r="E26" s="481" t="s">
        <v>316</v>
      </c>
    </row>
    <row r="27" spans="1:5">
      <c r="A27" s="337"/>
      <c r="B27" s="482" t="s">
        <v>317</v>
      </c>
      <c r="C27" s="482"/>
      <c r="D27" s="483" t="s">
        <v>342</v>
      </c>
      <c r="E27" s="483" t="s">
        <v>343</v>
      </c>
    </row>
    <row r="28" spans="1:5" ht="15.75" thickBot="1">
      <c r="A28" s="339"/>
      <c r="B28" s="486"/>
      <c r="C28" s="486"/>
      <c r="D28" s="487" t="s">
        <v>320</v>
      </c>
      <c r="E28" s="487"/>
    </row>
    <row r="29" spans="1:5">
      <c r="A29" s="336">
        <v>10</v>
      </c>
      <c r="B29" s="480" t="s">
        <v>300</v>
      </c>
      <c r="C29" s="480" t="s">
        <v>1664</v>
      </c>
      <c r="D29" s="481" t="s">
        <v>344</v>
      </c>
      <c r="E29" s="481" t="s">
        <v>316</v>
      </c>
    </row>
    <row r="30" spans="1:5">
      <c r="A30" s="337"/>
      <c r="B30" s="482" t="s">
        <v>317</v>
      </c>
      <c r="C30" s="482"/>
      <c r="D30" s="483" t="s">
        <v>318</v>
      </c>
      <c r="E30" s="483" t="s">
        <v>345</v>
      </c>
    </row>
    <row r="31" spans="1:5" ht="15.75" thickBot="1">
      <c r="A31" s="338"/>
      <c r="B31" s="484"/>
      <c r="C31" s="484"/>
      <c r="D31" s="485" t="s">
        <v>320</v>
      </c>
      <c r="E31" s="485"/>
    </row>
    <row r="32" spans="1:5">
      <c r="A32" s="340">
        <v>11</v>
      </c>
      <c r="B32" s="480" t="s">
        <v>300</v>
      </c>
      <c r="C32" s="480" t="s">
        <v>1664</v>
      </c>
      <c r="D32" s="481" t="s">
        <v>346</v>
      </c>
      <c r="E32" s="481" t="s">
        <v>316</v>
      </c>
    </row>
    <row r="33" spans="1:5">
      <c r="A33" s="337"/>
      <c r="B33" s="482" t="s">
        <v>317</v>
      </c>
      <c r="C33" s="482"/>
      <c r="D33" s="483" t="s">
        <v>347</v>
      </c>
      <c r="E33" s="483" t="s">
        <v>348</v>
      </c>
    </row>
    <row r="34" spans="1:5" ht="15.75" thickBot="1">
      <c r="A34" s="339"/>
      <c r="B34" s="486"/>
      <c r="C34" s="486"/>
      <c r="D34" s="487" t="s">
        <v>320</v>
      </c>
      <c r="E34" s="487"/>
    </row>
    <row r="35" spans="1:5">
      <c r="A35" s="336">
        <v>12</v>
      </c>
      <c r="B35" s="480" t="s">
        <v>300</v>
      </c>
      <c r="C35" s="480" t="s">
        <v>1664</v>
      </c>
      <c r="D35" s="481" t="s">
        <v>349</v>
      </c>
      <c r="E35" s="481" t="s">
        <v>316</v>
      </c>
    </row>
    <row r="36" spans="1:5">
      <c r="A36" s="337"/>
      <c r="B36" s="482" t="s">
        <v>317</v>
      </c>
      <c r="C36" s="482"/>
      <c r="D36" s="483" t="s">
        <v>342</v>
      </c>
      <c r="E36" s="483" t="s">
        <v>350</v>
      </c>
    </row>
    <row r="37" spans="1:5" ht="15.75" thickBot="1">
      <c r="A37" s="338"/>
      <c r="B37" s="484"/>
      <c r="C37" s="484"/>
      <c r="D37" s="485" t="s">
        <v>320</v>
      </c>
      <c r="E37" s="485"/>
    </row>
    <row r="38" spans="1:5">
      <c r="A38" s="341">
        <v>13</v>
      </c>
      <c r="B38" s="480" t="s">
        <v>300</v>
      </c>
      <c r="C38" s="480" t="s">
        <v>1664</v>
      </c>
      <c r="D38" s="488" t="s">
        <v>351</v>
      </c>
      <c r="E38" s="481" t="s">
        <v>316</v>
      </c>
    </row>
    <row r="39" spans="1:5">
      <c r="A39" s="338"/>
      <c r="B39" s="482" t="s">
        <v>317</v>
      </c>
      <c r="C39" s="482"/>
      <c r="D39" s="485" t="s">
        <v>352</v>
      </c>
      <c r="E39" s="483" t="s">
        <v>353</v>
      </c>
    </row>
    <row r="40" spans="1:5" ht="15.75" thickBot="1">
      <c r="A40" s="339"/>
      <c r="B40" s="486"/>
      <c r="C40" s="486"/>
      <c r="D40" s="487" t="s">
        <v>320</v>
      </c>
      <c r="E40" s="487"/>
    </row>
    <row r="41" spans="1:5">
      <c r="A41" s="342">
        <v>14</v>
      </c>
      <c r="B41" s="480" t="s">
        <v>300</v>
      </c>
      <c r="C41" s="480" t="s">
        <v>1664</v>
      </c>
      <c r="D41" s="489" t="s">
        <v>354</v>
      </c>
      <c r="E41" s="481" t="s">
        <v>316</v>
      </c>
    </row>
    <row r="42" spans="1:5">
      <c r="A42" s="338"/>
      <c r="B42" s="482" t="s">
        <v>317</v>
      </c>
      <c r="C42" s="482"/>
      <c r="D42" s="485" t="s">
        <v>355</v>
      </c>
      <c r="E42" s="483" t="s">
        <v>356</v>
      </c>
    </row>
    <row r="43" spans="1:5" ht="15.75" thickBot="1">
      <c r="A43" s="338"/>
      <c r="B43" s="484"/>
      <c r="C43" s="484"/>
      <c r="D43" s="485" t="s">
        <v>320</v>
      </c>
      <c r="E43" s="485"/>
    </row>
    <row r="44" spans="1:5">
      <c r="A44" s="341">
        <v>15</v>
      </c>
      <c r="B44" s="480" t="s">
        <v>300</v>
      </c>
      <c r="C44" s="480" t="s">
        <v>1664</v>
      </c>
      <c r="D44" s="488" t="s">
        <v>357</v>
      </c>
      <c r="E44" s="481" t="s">
        <v>316</v>
      </c>
    </row>
    <row r="45" spans="1:5">
      <c r="A45" s="338"/>
      <c r="B45" s="482" t="s">
        <v>317</v>
      </c>
      <c r="C45" s="482"/>
      <c r="D45" s="485" t="s">
        <v>355</v>
      </c>
      <c r="E45" s="483" t="s">
        <v>358</v>
      </c>
    </row>
    <row r="46" spans="1:5" ht="15.75" thickBot="1">
      <c r="A46" s="339"/>
      <c r="B46" s="486"/>
      <c r="C46" s="486"/>
      <c r="D46" s="487" t="s">
        <v>320</v>
      </c>
      <c r="E46" s="487"/>
    </row>
    <row r="47" spans="1:5">
      <c r="A47" s="342">
        <v>16</v>
      </c>
      <c r="B47" s="480" t="s">
        <v>300</v>
      </c>
      <c r="C47" s="480" t="s">
        <v>1664</v>
      </c>
      <c r="D47" s="489" t="s">
        <v>359</v>
      </c>
      <c r="E47" s="481" t="s">
        <v>316</v>
      </c>
    </row>
    <row r="48" spans="1:5">
      <c r="A48" s="338"/>
      <c r="B48" s="482" t="s">
        <v>317</v>
      </c>
      <c r="C48" s="482"/>
      <c r="D48" s="485" t="s">
        <v>360</v>
      </c>
      <c r="E48" s="483" t="s">
        <v>361</v>
      </c>
    </row>
    <row r="49" spans="1:5" ht="15.75" thickBot="1">
      <c r="A49" s="338"/>
      <c r="B49" s="484"/>
      <c r="C49" s="484"/>
      <c r="D49" s="485" t="s">
        <v>320</v>
      </c>
      <c r="E49" s="485"/>
    </row>
    <row r="50" spans="1:5">
      <c r="A50" s="341">
        <v>17</v>
      </c>
      <c r="B50" s="480" t="s">
        <v>300</v>
      </c>
      <c r="C50" s="480" t="s">
        <v>1664</v>
      </c>
      <c r="D50" s="488" t="s">
        <v>362</v>
      </c>
      <c r="E50" s="481" t="s">
        <v>316</v>
      </c>
    </row>
    <row r="51" spans="1:5">
      <c r="A51" s="338"/>
      <c r="B51" s="482" t="s">
        <v>317</v>
      </c>
      <c r="C51" s="482"/>
      <c r="D51" s="485" t="s">
        <v>363</v>
      </c>
      <c r="E51" s="483" t="s">
        <v>364</v>
      </c>
    </row>
    <row r="52" spans="1:5" ht="15.75" thickBot="1">
      <c r="A52" s="339"/>
      <c r="B52" s="486"/>
      <c r="C52" s="486"/>
      <c r="D52" s="487" t="s">
        <v>320</v>
      </c>
      <c r="E52" s="48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F612"/>
  <sheetViews>
    <sheetView workbookViewId="0">
      <selection activeCell="F47" sqref="F47"/>
    </sheetView>
  </sheetViews>
  <sheetFormatPr defaultRowHeight="15"/>
  <cols>
    <col min="1" max="1" width="23.5703125" style="153" customWidth="1"/>
    <col min="2" max="4" width="13.28515625" style="377" customWidth="1"/>
  </cols>
  <sheetData>
    <row r="1" spans="1:6" ht="23.25">
      <c r="A1" s="1430" t="s">
        <v>161</v>
      </c>
      <c r="B1" s="1431"/>
      <c r="C1" s="1431"/>
      <c r="D1" s="1432"/>
      <c r="E1" s="388"/>
    </row>
    <row r="2" spans="1:6" s="394" customFormat="1" ht="19.5" customHeight="1">
      <c r="A2" s="753"/>
      <c r="B2" s="755"/>
      <c r="C2" s="755"/>
      <c r="D2" s="755"/>
      <c r="E2" s="388"/>
    </row>
    <row r="3" spans="1:6" ht="38.25">
      <c r="A3" s="505" t="s">
        <v>1689</v>
      </c>
      <c r="B3" s="511" t="s">
        <v>1826</v>
      </c>
      <c r="C3" s="511" t="s">
        <v>2713</v>
      </c>
      <c r="D3" s="756" t="s">
        <v>1828</v>
      </c>
    </row>
    <row r="4" spans="1:6" ht="91.5" hidden="1" customHeight="1">
      <c r="A4" s="675" t="s">
        <v>1690</v>
      </c>
      <c r="B4" s="503" t="s">
        <v>1827</v>
      </c>
      <c r="C4" s="503"/>
      <c r="D4" s="757" t="s">
        <v>1829</v>
      </c>
    </row>
    <row r="5" spans="1:6">
      <c r="A5" s="676" t="s">
        <v>1837</v>
      </c>
      <c r="B5" s="760">
        <v>37712</v>
      </c>
      <c r="C5" s="751">
        <v>1</v>
      </c>
      <c r="D5" s="758">
        <v>8</v>
      </c>
      <c r="F5">
        <v>1</v>
      </c>
    </row>
    <row r="6" spans="1:6">
      <c r="A6" s="676" t="s">
        <v>1838</v>
      </c>
      <c r="B6" s="760">
        <v>37712</v>
      </c>
      <c r="C6" s="751">
        <v>1</v>
      </c>
      <c r="D6" s="758">
        <v>8</v>
      </c>
    </row>
    <row r="7" spans="1:6">
      <c r="A7" s="676" t="s">
        <v>1839</v>
      </c>
      <c r="B7" s="760">
        <v>37712</v>
      </c>
      <c r="C7" s="751">
        <v>1</v>
      </c>
      <c r="D7" s="758">
        <v>8</v>
      </c>
    </row>
    <row r="8" spans="1:6">
      <c r="A8" s="676" t="s">
        <v>1840</v>
      </c>
      <c r="B8" s="760">
        <v>37712</v>
      </c>
      <c r="C8" s="751">
        <v>1</v>
      </c>
      <c r="D8" s="758">
        <v>15</v>
      </c>
    </row>
    <row r="9" spans="1:6">
      <c r="A9" s="676" t="s">
        <v>1841</v>
      </c>
      <c r="B9" s="760">
        <v>37712</v>
      </c>
      <c r="C9" s="751">
        <v>1</v>
      </c>
      <c r="D9" s="758">
        <v>8</v>
      </c>
    </row>
    <row r="10" spans="1:6">
      <c r="A10" s="676" t="s">
        <v>1839</v>
      </c>
      <c r="B10" s="760">
        <v>37770</v>
      </c>
      <c r="C10" s="751">
        <v>1</v>
      </c>
      <c r="D10" s="758">
        <v>8</v>
      </c>
    </row>
    <row r="11" spans="1:6">
      <c r="A11" s="676" t="s">
        <v>1842</v>
      </c>
      <c r="B11" s="760">
        <v>37845</v>
      </c>
      <c r="C11" s="751">
        <v>1</v>
      </c>
      <c r="D11" s="758">
        <v>10</v>
      </c>
    </row>
    <row r="12" spans="1:6">
      <c r="A12" s="676" t="s">
        <v>1841</v>
      </c>
      <c r="B12" s="760">
        <v>37912</v>
      </c>
      <c r="C12" s="751">
        <v>1</v>
      </c>
      <c r="D12" s="758">
        <v>8</v>
      </c>
    </row>
    <row r="13" spans="1:6">
      <c r="A13" s="676" t="s">
        <v>1838</v>
      </c>
      <c r="B13" s="760">
        <v>37931</v>
      </c>
      <c r="C13" s="751">
        <v>1</v>
      </c>
      <c r="D13" s="758">
        <v>8</v>
      </c>
    </row>
    <row r="14" spans="1:6">
      <c r="A14" s="676" t="s">
        <v>1843</v>
      </c>
      <c r="B14" s="760">
        <v>37968</v>
      </c>
      <c r="C14" s="751">
        <v>1</v>
      </c>
      <c r="D14" s="758">
        <v>8</v>
      </c>
    </row>
    <row r="15" spans="1:6">
      <c r="A15" s="676" t="s">
        <v>1840</v>
      </c>
      <c r="B15" s="760">
        <v>38067</v>
      </c>
      <c r="C15" s="751">
        <v>1</v>
      </c>
      <c r="D15" s="758">
        <v>15</v>
      </c>
    </row>
    <row r="16" spans="1:6">
      <c r="A16" s="676" t="s">
        <v>1840</v>
      </c>
      <c r="B16" s="760">
        <v>38079</v>
      </c>
      <c r="C16" s="751">
        <v>1</v>
      </c>
      <c r="D16" s="758">
        <v>15</v>
      </c>
    </row>
    <row r="17" spans="1:4">
      <c r="A17" s="676" t="s">
        <v>1840</v>
      </c>
      <c r="B17" s="760">
        <v>38083</v>
      </c>
      <c r="C17" s="751">
        <v>1</v>
      </c>
      <c r="D17" s="758">
        <v>15</v>
      </c>
    </row>
    <row r="18" spans="1:4">
      <c r="A18" s="676" t="s">
        <v>1842</v>
      </c>
      <c r="B18" s="760">
        <v>38085</v>
      </c>
      <c r="C18" s="751">
        <v>1</v>
      </c>
      <c r="D18" s="758">
        <v>10</v>
      </c>
    </row>
    <row r="19" spans="1:4">
      <c r="A19" s="676" t="s">
        <v>1840</v>
      </c>
      <c r="B19" s="760">
        <v>38087</v>
      </c>
      <c r="C19" s="751">
        <v>1</v>
      </c>
      <c r="D19" s="758">
        <v>15</v>
      </c>
    </row>
    <row r="20" spans="1:4">
      <c r="A20" s="676" t="s">
        <v>1840</v>
      </c>
      <c r="B20" s="760">
        <v>38090</v>
      </c>
      <c r="C20" s="751">
        <v>1</v>
      </c>
      <c r="D20" s="758">
        <v>15</v>
      </c>
    </row>
    <row r="21" spans="1:4">
      <c r="A21" s="676" t="s">
        <v>1842</v>
      </c>
      <c r="B21" s="760">
        <v>38091</v>
      </c>
      <c r="C21" s="751">
        <v>1</v>
      </c>
      <c r="D21" s="758">
        <v>10</v>
      </c>
    </row>
    <row r="22" spans="1:4">
      <c r="A22" s="676" t="s">
        <v>1840</v>
      </c>
      <c r="B22" s="760">
        <v>38092</v>
      </c>
      <c r="C22" s="751">
        <v>1</v>
      </c>
      <c r="D22" s="758">
        <v>15</v>
      </c>
    </row>
    <row r="23" spans="1:4">
      <c r="A23" s="676" t="s">
        <v>1840</v>
      </c>
      <c r="B23" s="760">
        <v>38103</v>
      </c>
      <c r="C23" s="751">
        <v>1</v>
      </c>
      <c r="D23" s="758">
        <v>15</v>
      </c>
    </row>
    <row r="24" spans="1:4">
      <c r="A24" s="676" t="s">
        <v>1840</v>
      </c>
      <c r="B24" s="760">
        <v>38105</v>
      </c>
      <c r="C24" s="751">
        <v>1</v>
      </c>
      <c r="D24" s="758">
        <v>15</v>
      </c>
    </row>
    <row r="25" spans="1:4">
      <c r="A25" s="676" t="s">
        <v>1839</v>
      </c>
      <c r="B25" s="760">
        <v>38107</v>
      </c>
      <c r="C25" s="751">
        <v>1</v>
      </c>
      <c r="D25" s="758">
        <v>8</v>
      </c>
    </row>
    <row r="26" spans="1:4">
      <c r="A26" s="676" t="s">
        <v>1839</v>
      </c>
      <c r="B26" s="760">
        <v>38108</v>
      </c>
      <c r="C26" s="751">
        <v>1</v>
      </c>
      <c r="D26" s="758">
        <v>8</v>
      </c>
    </row>
    <row r="27" spans="1:4">
      <c r="A27" s="676" t="s">
        <v>1840</v>
      </c>
      <c r="B27" s="760">
        <v>38111</v>
      </c>
      <c r="C27" s="751">
        <v>1</v>
      </c>
      <c r="D27" s="758">
        <v>15</v>
      </c>
    </row>
    <row r="28" spans="1:4">
      <c r="A28" s="676" t="s">
        <v>1840</v>
      </c>
      <c r="B28" s="760">
        <v>38112</v>
      </c>
      <c r="C28" s="751">
        <v>1</v>
      </c>
      <c r="D28" s="758">
        <v>15</v>
      </c>
    </row>
    <row r="29" spans="1:4">
      <c r="A29" s="676" t="s">
        <v>1840</v>
      </c>
      <c r="B29" s="760">
        <v>38114</v>
      </c>
      <c r="C29" s="751">
        <v>1</v>
      </c>
      <c r="D29" s="758">
        <v>15</v>
      </c>
    </row>
    <row r="30" spans="1:4">
      <c r="A30" s="676" t="s">
        <v>1840</v>
      </c>
      <c r="B30" s="760">
        <v>38118</v>
      </c>
      <c r="C30" s="751">
        <v>1</v>
      </c>
      <c r="D30" s="758">
        <v>15</v>
      </c>
    </row>
    <row r="31" spans="1:4">
      <c r="A31" s="676" t="s">
        <v>1840</v>
      </c>
      <c r="B31" s="760">
        <v>38120</v>
      </c>
      <c r="C31" s="751">
        <v>1</v>
      </c>
      <c r="D31" s="758">
        <v>15</v>
      </c>
    </row>
    <row r="32" spans="1:4">
      <c r="A32" s="676" t="s">
        <v>1840</v>
      </c>
      <c r="B32" s="760">
        <v>38125</v>
      </c>
      <c r="C32" s="751">
        <v>1</v>
      </c>
      <c r="D32" s="758">
        <v>15</v>
      </c>
    </row>
    <row r="33" spans="1:4">
      <c r="A33" s="676" t="s">
        <v>1840</v>
      </c>
      <c r="B33" s="760">
        <v>38130</v>
      </c>
      <c r="C33" s="751">
        <v>1</v>
      </c>
      <c r="D33" s="758">
        <v>15</v>
      </c>
    </row>
    <row r="34" spans="1:4">
      <c r="A34" s="676" t="s">
        <v>1840</v>
      </c>
      <c r="B34" s="760">
        <v>38131</v>
      </c>
      <c r="C34" s="751">
        <v>1</v>
      </c>
      <c r="D34" s="758">
        <v>15</v>
      </c>
    </row>
    <row r="35" spans="1:4">
      <c r="A35" s="676" t="s">
        <v>1838</v>
      </c>
      <c r="B35" s="760">
        <v>38134</v>
      </c>
      <c r="C35" s="751">
        <v>1</v>
      </c>
      <c r="D35" s="758">
        <v>8</v>
      </c>
    </row>
    <row r="36" spans="1:4">
      <c r="A36" s="676" t="s">
        <v>1837</v>
      </c>
      <c r="B36" s="760">
        <v>38136</v>
      </c>
      <c r="C36" s="751">
        <v>1</v>
      </c>
      <c r="D36" s="758">
        <v>8</v>
      </c>
    </row>
    <row r="37" spans="1:4">
      <c r="A37" s="676" t="s">
        <v>1840</v>
      </c>
      <c r="B37" s="760">
        <v>38139</v>
      </c>
      <c r="C37" s="751">
        <v>1</v>
      </c>
      <c r="D37" s="758">
        <v>15</v>
      </c>
    </row>
    <row r="38" spans="1:4">
      <c r="A38" s="676" t="s">
        <v>1839</v>
      </c>
      <c r="B38" s="760">
        <v>38148</v>
      </c>
      <c r="C38" s="751">
        <v>1</v>
      </c>
      <c r="D38" s="758">
        <v>8</v>
      </c>
    </row>
    <row r="39" spans="1:4">
      <c r="A39" s="676" t="s">
        <v>1840</v>
      </c>
      <c r="B39" s="760">
        <v>38151</v>
      </c>
      <c r="C39" s="751">
        <v>1</v>
      </c>
      <c r="D39" s="758">
        <v>15</v>
      </c>
    </row>
    <row r="40" spans="1:4">
      <c r="A40" s="676" t="s">
        <v>1840</v>
      </c>
      <c r="B40" s="760">
        <v>38154</v>
      </c>
      <c r="C40" s="751">
        <v>1</v>
      </c>
      <c r="D40" s="758">
        <v>15</v>
      </c>
    </row>
    <row r="41" spans="1:4">
      <c r="A41" s="676" t="s">
        <v>1840</v>
      </c>
      <c r="B41" s="760">
        <v>38157</v>
      </c>
      <c r="C41" s="751">
        <v>1</v>
      </c>
      <c r="D41" s="758">
        <v>15</v>
      </c>
    </row>
    <row r="42" spans="1:4">
      <c r="A42" s="676" t="s">
        <v>1840</v>
      </c>
      <c r="B42" s="760">
        <v>38175</v>
      </c>
      <c r="C42" s="751">
        <v>1</v>
      </c>
      <c r="D42" s="758">
        <v>15</v>
      </c>
    </row>
    <row r="43" spans="1:4">
      <c r="A43" s="676" t="s">
        <v>1840</v>
      </c>
      <c r="B43" s="760">
        <v>38187</v>
      </c>
      <c r="C43" s="751">
        <v>1</v>
      </c>
      <c r="D43" s="758">
        <v>15</v>
      </c>
    </row>
    <row r="44" spans="1:4">
      <c r="A44" s="676" t="s">
        <v>1840</v>
      </c>
      <c r="B44" s="760">
        <v>38195</v>
      </c>
      <c r="C44" s="751">
        <v>1</v>
      </c>
      <c r="D44" s="758">
        <v>15</v>
      </c>
    </row>
    <row r="45" spans="1:4">
      <c r="A45" s="676" t="s">
        <v>1840</v>
      </c>
      <c r="B45" s="760">
        <v>38203</v>
      </c>
      <c r="C45" s="751">
        <v>1</v>
      </c>
      <c r="D45" s="758">
        <v>15</v>
      </c>
    </row>
    <row r="46" spans="1:4">
      <c r="A46" s="676" t="s">
        <v>1840</v>
      </c>
      <c r="B46" s="760">
        <v>38204</v>
      </c>
      <c r="C46" s="751">
        <v>1</v>
      </c>
      <c r="D46" s="758">
        <v>15</v>
      </c>
    </row>
    <row r="47" spans="1:4">
      <c r="A47" s="676" t="s">
        <v>1840</v>
      </c>
      <c r="B47" s="760">
        <v>38207</v>
      </c>
      <c r="C47" s="751">
        <v>1</v>
      </c>
      <c r="D47" s="758">
        <v>15</v>
      </c>
    </row>
    <row r="48" spans="1:4">
      <c r="A48" s="676" t="s">
        <v>1840</v>
      </c>
      <c r="B48" s="760">
        <v>38217</v>
      </c>
      <c r="C48" s="751">
        <v>1</v>
      </c>
      <c r="D48" s="758">
        <v>15</v>
      </c>
    </row>
    <row r="49" spans="1:4">
      <c r="A49" s="676" t="s">
        <v>1840</v>
      </c>
      <c r="B49" s="760">
        <v>38254</v>
      </c>
      <c r="C49" s="751">
        <v>1</v>
      </c>
      <c r="D49" s="758">
        <v>15</v>
      </c>
    </row>
    <row r="50" spans="1:4">
      <c r="A50" s="676" t="s">
        <v>1838</v>
      </c>
      <c r="B50" s="760">
        <v>38257</v>
      </c>
      <c r="C50" s="751">
        <v>1</v>
      </c>
      <c r="D50" s="758">
        <v>8</v>
      </c>
    </row>
    <row r="51" spans="1:4">
      <c r="A51" s="676" t="s">
        <v>1840</v>
      </c>
      <c r="B51" s="760">
        <v>38257</v>
      </c>
      <c r="C51" s="751">
        <v>1</v>
      </c>
      <c r="D51" s="758">
        <v>15</v>
      </c>
    </row>
    <row r="52" spans="1:4">
      <c r="A52" s="676" t="s">
        <v>1842</v>
      </c>
      <c r="B52" s="760">
        <v>38258</v>
      </c>
      <c r="C52" s="751">
        <v>1</v>
      </c>
      <c r="D52" s="758">
        <v>10</v>
      </c>
    </row>
    <row r="53" spans="1:4">
      <c r="A53" s="676" t="s">
        <v>1839</v>
      </c>
      <c r="B53" s="760">
        <v>38259</v>
      </c>
      <c r="C53" s="751">
        <v>1</v>
      </c>
      <c r="D53" s="758">
        <v>8</v>
      </c>
    </row>
    <row r="54" spans="1:4">
      <c r="A54" s="676" t="s">
        <v>1839</v>
      </c>
      <c r="B54" s="760">
        <v>38261</v>
      </c>
      <c r="C54" s="751">
        <v>1</v>
      </c>
      <c r="D54" s="758">
        <v>8</v>
      </c>
    </row>
    <row r="55" spans="1:4">
      <c r="A55" s="676" t="s">
        <v>1840</v>
      </c>
      <c r="B55" s="760">
        <v>38264</v>
      </c>
      <c r="C55" s="751">
        <v>1</v>
      </c>
      <c r="D55" s="758">
        <v>15</v>
      </c>
    </row>
    <row r="56" spans="1:4">
      <c r="A56" s="676" t="s">
        <v>1840</v>
      </c>
      <c r="B56" s="760">
        <v>38266</v>
      </c>
      <c r="C56" s="751">
        <v>1</v>
      </c>
      <c r="D56" s="758">
        <v>15</v>
      </c>
    </row>
    <row r="57" spans="1:4">
      <c r="A57" s="676" t="s">
        <v>1840</v>
      </c>
      <c r="B57" s="760">
        <v>38268</v>
      </c>
      <c r="C57" s="751">
        <v>1</v>
      </c>
      <c r="D57" s="758">
        <v>15</v>
      </c>
    </row>
    <row r="58" spans="1:4">
      <c r="A58" s="676" t="s">
        <v>1840</v>
      </c>
      <c r="B58" s="760">
        <v>38279</v>
      </c>
      <c r="C58" s="751">
        <v>1</v>
      </c>
      <c r="D58" s="758">
        <v>15</v>
      </c>
    </row>
    <row r="59" spans="1:4">
      <c r="A59" s="676" t="s">
        <v>1842</v>
      </c>
      <c r="B59" s="760">
        <v>38280</v>
      </c>
      <c r="C59" s="751">
        <v>1</v>
      </c>
      <c r="D59" s="758">
        <v>10</v>
      </c>
    </row>
    <row r="60" spans="1:4">
      <c r="A60" s="676" t="s">
        <v>1842</v>
      </c>
      <c r="B60" s="760">
        <v>38281</v>
      </c>
      <c r="C60" s="751">
        <v>1</v>
      </c>
      <c r="D60" s="758">
        <v>10</v>
      </c>
    </row>
    <row r="61" spans="1:4">
      <c r="A61" s="676" t="s">
        <v>1841</v>
      </c>
      <c r="B61" s="760">
        <v>38287</v>
      </c>
      <c r="C61" s="751">
        <v>1</v>
      </c>
      <c r="D61" s="758">
        <v>8</v>
      </c>
    </row>
    <row r="62" spans="1:4">
      <c r="A62" s="676" t="s">
        <v>1841</v>
      </c>
      <c r="B62" s="760">
        <v>38289</v>
      </c>
      <c r="C62" s="751">
        <v>1</v>
      </c>
      <c r="D62" s="758">
        <v>8</v>
      </c>
    </row>
    <row r="63" spans="1:4">
      <c r="A63" s="676" t="s">
        <v>1838</v>
      </c>
      <c r="B63" s="760">
        <v>38292</v>
      </c>
      <c r="C63" s="751">
        <v>1</v>
      </c>
      <c r="D63" s="758">
        <v>8</v>
      </c>
    </row>
    <row r="64" spans="1:4">
      <c r="A64" s="676" t="s">
        <v>1840</v>
      </c>
      <c r="B64" s="760">
        <v>38294</v>
      </c>
      <c r="C64" s="751">
        <v>1</v>
      </c>
      <c r="D64" s="758">
        <v>15</v>
      </c>
    </row>
    <row r="65" spans="1:4">
      <c r="A65" s="676" t="s">
        <v>1840</v>
      </c>
      <c r="B65" s="760">
        <v>38312</v>
      </c>
      <c r="C65" s="751">
        <v>1</v>
      </c>
      <c r="D65" s="758">
        <v>15</v>
      </c>
    </row>
    <row r="66" spans="1:4">
      <c r="A66" s="676" t="s">
        <v>1837</v>
      </c>
      <c r="B66" s="760">
        <v>38313</v>
      </c>
      <c r="C66" s="751">
        <v>1</v>
      </c>
      <c r="D66" s="758">
        <v>8</v>
      </c>
    </row>
    <row r="67" spans="1:4">
      <c r="A67" s="676" t="s">
        <v>1839</v>
      </c>
      <c r="B67" s="760">
        <v>38323</v>
      </c>
      <c r="C67" s="751">
        <v>1</v>
      </c>
      <c r="D67" s="758">
        <v>8</v>
      </c>
    </row>
    <row r="68" spans="1:4">
      <c r="A68" s="676" t="s">
        <v>1840</v>
      </c>
      <c r="B68" s="760">
        <v>38334</v>
      </c>
      <c r="C68" s="751">
        <v>1</v>
      </c>
      <c r="D68" s="758">
        <v>15</v>
      </c>
    </row>
    <row r="69" spans="1:4">
      <c r="A69" s="676" t="s">
        <v>1840</v>
      </c>
      <c r="B69" s="760">
        <v>38350</v>
      </c>
      <c r="C69" s="751">
        <v>1</v>
      </c>
      <c r="D69" s="758">
        <v>15</v>
      </c>
    </row>
    <row r="70" spans="1:4">
      <c r="A70" s="676" t="s">
        <v>1840</v>
      </c>
      <c r="B70" s="760">
        <v>38370</v>
      </c>
      <c r="C70" s="751">
        <v>1</v>
      </c>
      <c r="D70" s="758">
        <v>15</v>
      </c>
    </row>
    <row r="71" spans="1:4">
      <c r="A71" s="676" t="s">
        <v>1839</v>
      </c>
      <c r="B71" s="760">
        <v>38399</v>
      </c>
      <c r="C71" s="751">
        <v>1</v>
      </c>
      <c r="D71" s="758">
        <v>8</v>
      </c>
    </row>
    <row r="72" spans="1:4">
      <c r="A72" s="676" t="s">
        <v>1839</v>
      </c>
      <c r="B72" s="760">
        <v>38406</v>
      </c>
      <c r="C72" s="751">
        <v>1</v>
      </c>
      <c r="D72" s="758">
        <v>8</v>
      </c>
    </row>
    <row r="73" spans="1:4">
      <c r="A73" s="676" t="s">
        <v>1839</v>
      </c>
      <c r="B73" s="760">
        <v>38407</v>
      </c>
      <c r="C73" s="751">
        <v>1</v>
      </c>
      <c r="D73" s="758">
        <v>8</v>
      </c>
    </row>
    <row r="74" spans="1:4">
      <c r="A74" s="676" t="s">
        <v>1840</v>
      </c>
      <c r="B74" s="760">
        <v>38407</v>
      </c>
      <c r="C74" s="751">
        <v>1</v>
      </c>
      <c r="D74" s="758">
        <v>15</v>
      </c>
    </row>
    <row r="75" spans="1:4">
      <c r="A75" s="676" t="s">
        <v>1840</v>
      </c>
      <c r="B75" s="760">
        <v>38413</v>
      </c>
      <c r="C75" s="751">
        <v>1</v>
      </c>
      <c r="D75" s="758">
        <v>15</v>
      </c>
    </row>
    <row r="76" spans="1:4">
      <c r="A76" s="676" t="s">
        <v>1840</v>
      </c>
      <c r="B76" s="760">
        <v>38421</v>
      </c>
      <c r="C76" s="751">
        <v>1</v>
      </c>
      <c r="D76" s="758">
        <v>15</v>
      </c>
    </row>
    <row r="77" spans="1:4">
      <c r="A77" s="676" t="s">
        <v>1839</v>
      </c>
      <c r="B77" s="760">
        <v>38427</v>
      </c>
      <c r="C77" s="751">
        <v>1</v>
      </c>
      <c r="D77" s="758">
        <v>8</v>
      </c>
    </row>
    <row r="78" spans="1:4">
      <c r="A78" s="676" t="s">
        <v>1840</v>
      </c>
      <c r="B78" s="760">
        <v>38427</v>
      </c>
      <c r="C78" s="751">
        <v>1</v>
      </c>
      <c r="D78" s="758">
        <v>15</v>
      </c>
    </row>
    <row r="79" spans="1:4">
      <c r="A79" s="676" t="s">
        <v>1840</v>
      </c>
      <c r="B79" s="760">
        <v>38432</v>
      </c>
      <c r="C79" s="751">
        <v>1</v>
      </c>
      <c r="D79" s="758">
        <v>15</v>
      </c>
    </row>
    <row r="80" spans="1:4">
      <c r="A80" s="676" t="s">
        <v>1839</v>
      </c>
      <c r="B80" s="760">
        <v>38433</v>
      </c>
      <c r="C80" s="751">
        <v>1</v>
      </c>
      <c r="D80" s="758">
        <v>8</v>
      </c>
    </row>
    <row r="81" spans="1:4">
      <c r="A81" s="676" t="s">
        <v>1840</v>
      </c>
      <c r="B81" s="760">
        <v>38434</v>
      </c>
      <c r="C81" s="751">
        <v>1</v>
      </c>
      <c r="D81" s="758">
        <v>15</v>
      </c>
    </row>
    <row r="82" spans="1:4">
      <c r="A82" s="676" t="s">
        <v>1840</v>
      </c>
      <c r="B82" s="760">
        <v>38441</v>
      </c>
      <c r="C82" s="751">
        <v>1</v>
      </c>
      <c r="D82" s="758">
        <v>15</v>
      </c>
    </row>
    <row r="83" spans="1:4">
      <c r="A83" s="676" t="s">
        <v>1839</v>
      </c>
      <c r="B83" s="760">
        <v>38442</v>
      </c>
      <c r="C83" s="751">
        <v>1</v>
      </c>
      <c r="D83" s="758">
        <v>8</v>
      </c>
    </row>
    <row r="84" spans="1:4">
      <c r="A84" s="676" t="s">
        <v>1840</v>
      </c>
      <c r="B84" s="760">
        <v>38442</v>
      </c>
      <c r="C84" s="751">
        <v>1</v>
      </c>
      <c r="D84" s="758">
        <v>15</v>
      </c>
    </row>
    <row r="85" spans="1:4">
      <c r="A85" s="676" t="s">
        <v>1839</v>
      </c>
      <c r="B85" s="760">
        <v>38626</v>
      </c>
      <c r="C85" s="751">
        <v>1</v>
      </c>
      <c r="D85" s="758">
        <v>8</v>
      </c>
    </row>
    <row r="86" spans="1:4">
      <c r="A86" s="676" t="s">
        <v>1843</v>
      </c>
      <c r="B86" s="760">
        <v>38777</v>
      </c>
      <c r="C86" s="751">
        <v>1</v>
      </c>
      <c r="D86" s="758">
        <v>8</v>
      </c>
    </row>
    <row r="87" spans="1:4">
      <c r="A87" s="676" t="s">
        <v>1838</v>
      </c>
      <c r="B87" s="760">
        <v>38777</v>
      </c>
      <c r="C87" s="751">
        <v>1</v>
      </c>
      <c r="D87" s="758">
        <v>8</v>
      </c>
    </row>
    <row r="88" spans="1:4">
      <c r="A88" s="676" t="s">
        <v>1842</v>
      </c>
      <c r="B88" s="760">
        <v>38777</v>
      </c>
      <c r="C88" s="751">
        <v>1</v>
      </c>
      <c r="D88" s="758">
        <v>10</v>
      </c>
    </row>
    <row r="89" spans="1:4">
      <c r="A89" s="676" t="s">
        <v>1839</v>
      </c>
      <c r="B89" s="760">
        <v>38777</v>
      </c>
      <c r="C89" s="751">
        <v>1</v>
      </c>
      <c r="D89" s="758">
        <v>8</v>
      </c>
    </row>
    <row r="90" spans="1:4">
      <c r="A90" s="676" t="s">
        <v>1840</v>
      </c>
      <c r="B90" s="760">
        <v>38777</v>
      </c>
      <c r="C90" s="751">
        <v>1</v>
      </c>
      <c r="D90" s="758">
        <v>15</v>
      </c>
    </row>
    <row r="91" spans="1:4">
      <c r="A91" s="676" t="s">
        <v>1841</v>
      </c>
      <c r="B91" s="760">
        <v>38777</v>
      </c>
      <c r="C91" s="751">
        <v>1</v>
      </c>
      <c r="D91" s="758">
        <v>8</v>
      </c>
    </row>
    <row r="92" spans="1:4">
      <c r="A92" s="676" t="s">
        <v>1841</v>
      </c>
      <c r="B92" s="760">
        <v>38813</v>
      </c>
      <c r="C92" s="751">
        <v>1</v>
      </c>
      <c r="D92" s="758">
        <v>8</v>
      </c>
    </row>
    <row r="93" spans="1:4">
      <c r="A93" s="676" t="s">
        <v>1839</v>
      </c>
      <c r="B93" s="760">
        <v>38818</v>
      </c>
      <c r="C93" s="751">
        <v>1</v>
      </c>
      <c r="D93" s="758">
        <v>8</v>
      </c>
    </row>
    <row r="94" spans="1:4">
      <c r="A94" s="676" t="s">
        <v>1839</v>
      </c>
      <c r="B94" s="760">
        <v>38819</v>
      </c>
      <c r="C94" s="751">
        <v>1</v>
      </c>
      <c r="D94" s="758">
        <v>8</v>
      </c>
    </row>
    <row r="95" spans="1:4">
      <c r="A95" s="676" t="s">
        <v>1841</v>
      </c>
      <c r="B95" s="760">
        <v>38825</v>
      </c>
      <c r="C95" s="751">
        <v>1</v>
      </c>
      <c r="D95" s="758">
        <v>8</v>
      </c>
    </row>
    <row r="96" spans="1:4">
      <c r="A96" s="676" t="s">
        <v>1842</v>
      </c>
      <c r="B96" s="760">
        <v>38828</v>
      </c>
      <c r="C96" s="751">
        <v>1</v>
      </c>
      <c r="D96" s="758">
        <v>10</v>
      </c>
    </row>
    <row r="97" spans="1:4">
      <c r="A97" s="676" t="s">
        <v>1843</v>
      </c>
      <c r="B97" s="760">
        <v>38831</v>
      </c>
      <c r="C97" s="751">
        <v>1</v>
      </c>
      <c r="D97" s="758">
        <v>8</v>
      </c>
    </row>
    <row r="98" spans="1:4">
      <c r="A98" s="676" t="s">
        <v>1843</v>
      </c>
      <c r="B98" s="760">
        <v>38832</v>
      </c>
      <c r="C98" s="751">
        <v>1</v>
      </c>
      <c r="D98" s="758">
        <v>8</v>
      </c>
    </row>
    <row r="99" spans="1:4">
      <c r="A99" s="676" t="s">
        <v>1843</v>
      </c>
      <c r="B99" s="760">
        <v>38833</v>
      </c>
      <c r="C99" s="751">
        <v>1</v>
      </c>
      <c r="D99" s="758">
        <v>8</v>
      </c>
    </row>
    <row r="100" spans="1:4">
      <c r="A100" s="676" t="s">
        <v>1843</v>
      </c>
      <c r="B100" s="760">
        <v>38834</v>
      </c>
      <c r="C100" s="751">
        <v>1</v>
      </c>
      <c r="D100" s="758">
        <v>8</v>
      </c>
    </row>
    <row r="101" spans="1:4">
      <c r="A101" s="676" t="s">
        <v>1841</v>
      </c>
      <c r="B101" s="760">
        <v>38846</v>
      </c>
      <c r="C101" s="751">
        <v>1</v>
      </c>
      <c r="D101" s="758">
        <v>8</v>
      </c>
    </row>
    <row r="102" spans="1:4">
      <c r="A102" s="676" t="s">
        <v>1841</v>
      </c>
      <c r="B102" s="760">
        <v>38854</v>
      </c>
      <c r="C102" s="751">
        <v>1</v>
      </c>
      <c r="D102" s="758">
        <v>8</v>
      </c>
    </row>
    <row r="103" spans="1:4">
      <c r="A103" s="676" t="s">
        <v>1842</v>
      </c>
      <c r="B103" s="760">
        <v>38874</v>
      </c>
      <c r="C103" s="751">
        <v>1</v>
      </c>
      <c r="D103" s="758">
        <v>10</v>
      </c>
    </row>
    <row r="104" spans="1:4">
      <c r="A104" s="676" t="s">
        <v>1842</v>
      </c>
      <c r="B104" s="760">
        <v>38895</v>
      </c>
      <c r="C104" s="751">
        <v>1</v>
      </c>
      <c r="D104" s="758">
        <v>10</v>
      </c>
    </row>
    <row r="105" spans="1:4">
      <c r="A105" s="676" t="s">
        <v>1842</v>
      </c>
      <c r="B105" s="760">
        <v>38899</v>
      </c>
      <c r="C105" s="751">
        <v>1</v>
      </c>
      <c r="D105" s="758">
        <v>10</v>
      </c>
    </row>
    <row r="106" spans="1:4">
      <c r="A106" s="676" t="s">
        <v>1843</v>
      </c>
      <c r="B106" s="760">
        <v>38965</v>
      </c>
      <c r="C106" s="751">
        <v>1</v>
      </c>
      <c r="D106" s="758">
        <v>8</v>
      </c>
    </row>
    <row r="107" spans="1:4">
      <c r="A107" s="676" t="s">
        <v>1841</v>
      </c>
      <c r="B107" s="760">
        <v>38969</v>
      </c>
      <c r="C107" s="751">
        <v>1</v>
      </c>
      <c r="D107" s="758">
        <v>8</v>
      </c>
    </row>
    <row r="108" spans="1:4">
      <c r="A108" s="676" t="s">
        <v>1843</v>
      </c>
      <c r="B108" s="760">
        <v>38971</v>
      </c>
      <c r="C108" s="751">
        <v>1</v>
      </c>
      <c r="D108" s="758">
        <v>8</v>
      </c>
    </row>
    <row r="109" spans="1:4">
      <c r="A109" s="676" t="s">
        <v>1843</v>
      </c>
      <c r="B109" s="760">
        <v>38978</v>
      </c>
      <c r="C109" s="751">
        <v>1</v>
      </c>
      <c r="D109" s="758">
        <v>8</v>
      </c>
    </row>
    <row r="110" spans="1:4">
      <c r="A110" s="676" t="s">
        <v>1843</v>
      </c>
      <c r="B110" s="760">
        <v>38981</v>
      </c>
      <c r="C110" s="751">
        <v>1</v>
      </c>
      <c r="D110" s="758">
        <v>8</v>
      </c>
    </row>
    <row r="111" spans="1:4">
      <c r="A111" s="676" t="s">
        <v>1843</v>
      </c>
      <c r="B111" s="760">
        <v>38985</v>
      </c>
      <c r="C111" s="751">
        <v>1</v>
      </c>
      <c r="D111" s="758">
        <v>8</v>
      </c>
    </row>
    <row r="112" spans="1:4">
      <c r="A112" s="676" t="s">
        <v>1839</v>
      </c>
      <c r="B112" s="760">
        <v>38989</v>
      </c>
      <c r="C112" s="751">
        <v>1</v>
      </c>
      <c r="D112" s="758">
        <v>8</v>
      </c>
    </row>
    <row r="113" spans="1:4">
      <c r="A113" s="676" t="s">
        <v>1843</v>
      </c>
      <c r="B113" s="760">
        <v>38995</v>
      </c>
      <c r="C113" s="751">
        <v>1</v>
      </c>
      <c r="D113" s="758">
        <v>8</v>
      </c>
    </row>
    <row r="114" spans="1:4">
      <c r="A114" s="676" t="s">
        <v>1843</v>
      </c>
      <c r="B114" s="760">
        <v>38996</v>
      </c>
      <c r="C114" s="751">
        <v>1</v>
      </c>
      <c r="D114" s="758">
        <v>8</v>
      </c>
    </row>
    <row r="115" spans="1:4">
      <c r="A115" s="676" t="s">
        <v>1843</v>
      </c>
      <c r="B115" s="760">
        <v>38998</v>
      </c>
      <c r="C115" s="751">
        <v>1</v>
      </c>
      <c r="D115" s="758">
        <v>8</v>
      </c>
    </row>
    <row r="116" spans="1:4">
      <c r="A116" s="676" t="s">
        <v>1843</v>
      </c>
      <c r="B116" s="760">
        <v>39000</v>
      </c>
      <c r="C116" s="751">
        <v>1</v>
      </c>
      <c r="D116" s="758">
        <v>8</v>
      </c>
    </row>
    <row r="117" spans="1:4">
      <c r="A117" s="676" t="s">
        <v>1843</v>
      </c>
      <c r="B117" s="760">
        <v>39001</v>
      </c>
      <c r="C117" s="751">
        <v>1</v>
      </c>
      <c r="D117" s="758">
        <v>8</v>
      </c>
    </row>
    <row r="118" spans="1:4">
      <c r="A118" s="676" t="s">
        <v>1843</v>
      </c>
      <c r="B118" s="760">
        <v>39002</v>
      </c>
      <c r="C118" s="751">
        <v>1</v>
      </c>
      <c r="D118" s="758">
        <v>8</v>
      </c>
    </row>
    <row r="119" spans="1:4">
      <c r="A119" s="676" t="s">
        <v>1843</v>
      </c>
      <c r="B119" s="760">
        <v>39004</v>
      </c>
      <c r="C119" s="751">
        <v>1</v>
      </c>
      <c r="D119" s="758">
        <v>8</v>
      </c>
    </row>
    <row r="120" spans="1:4">
      <c r="A120" s="676" t="s">
        <v>1843</v>
      </c>
      <c r="B120" s="760">
        <v>39005</v>
      </c>
      <c r="C120" s="751">
        <v>1</v>
      </c>
      <c r="D120" s="758">
        <v>8</v>
      </c>
    </row>
    <row r="121" spans="1:4">
      <c r="A121" s="676" t="s">
        <v>1839</v>
      </c>
      <c r="B121" s="760">
        <v>39008</v>
      </c>
      <c r="C121" s="751">
        <v>1</v>
      </c>
      <c r="D121" s="758">
        <v>8</v>
      </c>
    </row>
    <row r="122" spans="1:4">
      <c r="A122" s="676" t="s">
        <v>1839</v>
      </c>
      <c r="B122" s="760">
        <v>39010</v>
      </c>
      <c r="C122" s="751">
        <v>1</v>
      </c>
      <c r="D122" s="758">
        <v>8</v>
      </c>
    </row>
    <row r="123" spans="1:4">
      <c r="A123" s="676" t="s">
        <v>1843</v>
      </c>
      <c r="B123" s="760">
        <v>39013</v>
      </c>
      <c r="C123" s="751">
        <v>1</v>
      </c>
      <c r="D123" s="758">
        <v>8</v>
      </c>
    </row>
    <row r="124" spans="1:4">
      <c r="A124" s="676" t="s">
        <v>1843</v>
      </c>
      <c r="B124" s="760">
        <v>39015</v>
      </c>
      <c r="C124" s="751">
        <v>1</v>
      </c>
      <c r="D124" s="758">
        <v>8</v>
      </c>
    </row>
    <row r="125" spans="1:4">
      <c r="A125" s="676" t="s">
        <v>1842</v>
      </c>
      <c r="B125" s="760">
        <v>39016</v>
      </c>
      <c r="C125" s="751">
        <v>1</v>
      </c>
      <c r="D125" s="758">
        <v>10</v>
      </c>
    </row>
    <row r="126" spans="1:4">
      <c r="A126" s="676" t="s">
        <v>1839</v>
      </c>
      <c r="B126" s="760">
        <v>39018</v>
      </c>
      <c r="C126" s="751">
        <v>1</v>
      </c>
      <c r="D126" s="758">
        <v>8</v>
      </c>
    </row>
    <row r="127" spans="1:4">
      <c r="A127" s="676" t="s">
        <v>1839</v>
      </c>
      <c r="B127" s="760">
        <v>39021</v>
      </c>
      <c r="C127" s="751">
        <v>1</v>
      </c>
      <c r="D127" s="758">
        <v>8</v>
      </c>
    </row>
    <row r="128" spans="1:4">
      <c r="A128" s="676" t="s">
        <v>1843</v>
      </c>
      <c r="B128" s="760">
        <v>39024</v>
      </c>
      <c r="C128" s="751">
        <v>1</v>
      </c>
      <c r="D128" s="758">
        <v>8</v>
      </c>
    </row>
    <row r="129" spans="1:4">
      <c r="A129" s="676" t="s">
        <v>1839</v>
      </c>
      <c r="B129" s="760">
        <v>39025</v>
      </c>
      <c r="C129" s="751">
        <v>1</v>
      </c>
      <c r="D129" s="758">
        <v>8</v>
      </c>
    </row>
    <row r="130" spans="1:4">
      <c r="A130" s="676" t="s">
        <v>1839</v>
      </c>
      <c r="B130" s="760">
        <v>39031</v>
      </c>
      <c r="C130" s="751">
        <v>1</v>
      </c>
      <c r="D130" s="758">
        <v>8</v>
      </c>
    </row>
    <row r="131" spans="1:4">
      <c r="A131" s="676" t="s">
        <v>1843</v>
      </c>
      <c r="B131" s="760">
        <v>39036</v>
      </c>
      <c r="C131" s="751">
        <v>1</v>
      </c>
      <c r="D131" s="758">
        <v>8</v>
      </c>
    </row>
    <row r="132" spans="1:4">
      <c r="A132" s="676" t="s">
        <v>1843</v>
      </c>
      <c r="B132" s="760">
        <v>39038</v>
      </c>
      <c r="C132" s="751">
        <v>1</v>
      </c>
      <c r="D132" s="758">
        <v>8</v>
      </c>
    </row>
    <row r="133" spans="1:4">
      <c r="A133" s="676" t="s">
        <v>1843</v>
      </c>
      <c r="B133" s="760">
        <v>39039</v>
      </c>
      <c r="C133" s="751">
        <v>1</v>
      </c>
      <c r="D133" s="758">
        <v>8</v>
      </c>
    </row>
    <row r="134" spans="1:4">
      <c r="A134" s="676" t="s">
        <v>1843</v>
      </c>
      <c r="B134" s="760">
        <v>39040</v>
      </c>
      <c r="C134" s="751">
        <v>1</v>
      </c>
      <c r="D134" s="758">
        <v>8</v>
      </c>
    </row>
    <row r="135" spans="1:4">
      <c r="A135" s="676" t="s">
        <v>1843</v>
      </c>
      <c r="B135" s="760">
        <v>39043</v>
      </c>
      <c r="C135" s="751">
        <v>1</v>
      </c>
      <c r="D135" s="758">
        <v>8</v>
      </c>
    </row>
    <row r="136" spans="1:4">
      <c r="A136" s="676" t="s">
        <v>1843</v>
      </c>
      <c r="B136" s="760">
        <v>39045</v>
      </c>
      <c r="C136" s="751">
        <v>1</v>
      </c>
      <c r="D136" s="758">
        <v>8</v>
      </c>
    </row>
    <row r="137" spans="1:4">
      <c r="A137" s="676" t="s">
        <v>1843</v>
      </c>
      <c r="B137" s="760">
        <v>39049</v>
      </c>
      <c r="C137" s="751">
        <v>1</v>
      </c>
      <c r="D137" s="758">
        <v>8</v>
      </c>
    </row>
    <row r="138" spans="1:4">
      <c r="A138" s="676" t="s">
        <v>1837</v>
      </c>
      <c r="B138" s="760">
        <v>39059</v>
      </c>
      <c r="C138" s="751">
        <v>1</v>
      </c>
      <c r="D138" s="758">
        <v>8</v>
      </c>
    </row>
    <row r="139" spans="1:4">
      <c r="A139" s="676" t="s">
        <v>1842</v>
      </c>
      <c r="B139" s="760">
        <v>39070</v>
      </c>
      <c r="C139" s="751">
        <v>1</v>
      </c>
      <c r="D139" s="758">
        <v>10</v>
      </c>
    </row>
    <row r="140" spans="1:4">
      <c r="A140" s="676" t="s">
        <v>1839</v>
      </c>
      <c r="B140" s="760">
        <v>39080</v>
      </c>
      <c r="C140" s="751">
        <v>1</v>
      </c>
      <c r="D140" s="758">
        <v>8</v>
      </c>
    </row>
    <row r="141" spans="1:4">
      <c r="A141" s="676" t="s">
        <v>1842</v>
      </c>
      <c r="B141" s="760">
        <v>39082</v>
      </c>
      <c r="C141" s="751">
        <v>1</v>
      </c>
      <c r="D141" s="758">
        <v>10</v>
      </c>
    </row>
    <row r="142" spans="1:4">
      <c r="A142" s="676" t="s">
        <v>1842</v>
      </c>
      <c r="B142" s="760">
        <v>39090</v>
      </c>
      <c r="C142" s="751">
        <v>1</v>
      </c>
      <c r="D142" s="758">
        <v>10</v>
      </c>
    </row>
    <row r="143" spans="1:4">
      <c r="A143" s="676" t="s">
        <v>1843</v>
      </c>
      <c r="B143" s="760">
        <v>39102</v>
      </c>
      <c r="C143" s="751">
        <v>1</v>
      </c>
      <c r="D143" s="758">
        <v>8</v>
      </c>
    </row>
    <row r="144" spans="1:4">
      <c r="A144" s="676" t="s">
        <v>1843</v>
      </c>
      <c r="B144" s="760">
        <v>39109</v>
      </c>
      <c r="C144" s="751">
        <v>1</v>
      </c>
      <c r="D144" s="758">
        <v>8</v>
      </c>
    </row>
    <row r="145" spans="1:4">
      <c r="A145" s="676" t="s">
        <v>1843</v>
      </c>
      <c r="B145" s="760">
        <v>39116</v>
      </c>
      <c r="C145" s="751">
        <v>1</v>
      </c>
      <c r="D145" s="758">
        <v>8</v>
      </c>
    </row>
    <row r="146" spans="1:4">
      <c r="A146" s="676" t="s">
        <v>1839</v>
      </c>
      <c r="B146" s="760">
        <v>39122</v>
      </c>
      <c r="C146" s="751">
        <v>1</v>
      </c>
      <c r="D146" s="758">
        <v>8</v>
      </c>
    </row>
    <row r="147" spans="1:4">
      <c r="A147" s="676" t="s">
        <v>1843</v>
      </c>
      <c r="B147" s="760">
        <v>39129</v>
      </c>
      <c r="C147" s="751">
        <v>1</v>
      </c>
      <c r="D147" s="758">
        <v>8</v>
      </c>
    </row>
    <row r="148" spans="1:4">
      <c r="A148" s="676" t="s">
        <v>1841</v>
      </c>
      <c r="B148" s="760">
        <v>39142</v>
      </c>
      <c r="C148" s="751">
        <v>1</v>
      </c>
      <c r="D148" s="758">
        <v>8</v>
      </c>
    </row>
    <row r="149" spans="1:4">
      <c r="A149" s="676" t="s">
        <v>1841</v>
      </c>
      <c r="B149" s="760">
        <v>39146</v>
      </c>
      <c r="C149" s="751">
        <v>1</v>
      </c>
      <c r="D149" s="758">
        <v>8</v>
      </c>
    </row>
    <row r="150" spans="1:4">
      <c r="A150" s="676" t="s">
        <v>1839</v>
      </c>
      <c r="B150" s="760">
        <v>39156</v>
      </c>
      <c r="C150" s="751">
        <v>1</v>
      </c>
      <c r="D150" s="758">
        <v>8</v>
      </c>
    </row>
    <row r="151" spans="1:4">
      <c r="A151" s="676" t="s">
        <v>1840</v>
      </c>
      <c r="B151" s="760">
        <v>39156</v>
      </c>
      <c r="C151" s="751">
        <v>1</v>
      </c>
      <c r="D151" s="758">
        <v>15</v>
      </c>
    </row>
    <row r="152" spans="1:4">
      <c r="A152" s="676" t="s">
        <v>1842</v>
      </c>
      <c r="B152" s="760">
        <v>39164</v>
      </c>
      <c r="C152" s="751">
        <v>1</v>
      </c>
      <c r="D152" s="758">
        <v>10</v>
      </c>
    </row>
    <row r="153" spans="1:4">
      <c r="A153" s="676" t="s">
        <v>1842</v>
      </c>
      <c r="B153" s="760">
        <v>39182</v>
      </c>
      <c r="C153" s="751">
        <v>1</v>
      </c>
      <c r="D153" s="758">
        <v>10</v>
      </c>
    </row>
    <row r="154" spans="1:4">
      <c r="A154" s="676" t="s">
        <v>1839</v>
      </c>
      <c r="B154" s="760">
        <v>39199</v>
      </c>
      <c r="C154" s="751">
        <v>1</v>
      </c>
      <c r="D154" s="758">
        <v>8</v>
      </c>
    </row>
    <row r="155" spans="1:4">
      <c r="A155" s="676" t="s">
        <v>1839</v>
      </c>
      <c r="B155" s="760">
        <v>39202</v>
      </c>
      <c r="C155" s="751">
        <v>1</v>
      </c>
      <c r="D155" s="758">
        <v>8</v>
      </c>
    </row>
    <row r="156" spans="1:4">
      <c r="A156" s="676" t="s">
        <v>1837</v>
      </c>
      <c r="B156" s="760">
        <v>39206</v>
      </c>
      <c r="C156" s="751">
        <v>1</v>
      </c>
      <c r="D156" s="758">
        <v>8</v>
      </c>
    </row>
    <row r="157" spans="1:4">
      <c r="A157" s="676" t="s">
        <v>1839</v>
      </c>
      <c r="B157" s="760">
        <v>39218</v>
      </c>
      <c r="C157" s="751">
        <v>1</v>
      </c>
      <c r="D157" s="758">
        <v>8</v>
      </c>
    </row>
    <row r="158" spans="1:4">
      <c r="A158" s="676" t="s">
        <v>1839</v>
      </c>
      <c r="B158" s="760">
        <v>39235</v>
      </c>
      <c r="C158" s="751">
        <v>1</v>
      </c>
      <c r="D158" s="758">
        <v>8</v>
      </c>
    </row>
    <row r="159" spans="1:4">
      <c r="A159" s="676" t="s">
        <v>1837</v>
      </c>
      <c r="B159" s="760">
        <v>39253</v>
      </c>
      <c r="C159" s="751">
        <v>1</v>
      </c>
      <c r="D159" s="758">
        <v>8</v>
      </c>
    </row>
    <row r="160" spans="1:4">
      <c r="A160" s="676" t="s">
        <v>1839</v>
      </c>
      <c r="B160" s="760">
        <v>39253</v>
      </c>
      <c r="C160" s="751">
        <v>1</v>
      </c>
      <c r="D160" s="758">
        <v>8</v>
      </c>
    </row>
    <row r="161" spans="1:4">
      <c r="A161" s="676" t="s">
        <v>1839</v>
      </c>
      <c r="B161" s="760">
        <v>39262</v>
      </c>
      <c r="C161" s="751">
        <v>1</v>
      </c>
      <c r="D161" s="758">
        <v>8</v>
      </c>
    </row>
    <row r="162" spans="1:4">
      <c r="A162" s="676" t="s">
        <v>1842</v>
      </c>
      <c r="B162" s="760">
        <v>39265</v>
      </c>
      <c r="C162" s="751">
        <v>1</v>
      </c>
      <c r="D162" s="758">
        <v>10</v>
      </c>
    </row>
    <row r="163" spans="1:4">
      <c r="A163" s="676" t="s">
        <v>1839</v>
      </c>
      <c r="B163" s="760">
        <v>39274</v>
      </c>
      <c r="C163" s="751">
        <v>1</v>
      </c>
      <c r="D163" s="758">
        <v>8</v>
      </c>
    </row>
    <row r="164" spans="1:4">
      <c r="A164" s="676" t="s">
        <v>1839</v>
      </c>
      <c r="B164" s="760">
        <v>39279</v>
      </c>
      <c r="C164" s="751">
        <v>1</v>
      </c>
      <c r="D164" s="758">
        <v>8</v>
      </c>
    </row>
    <row r="165" spans="1:4">
      <c r="A165" s="676" t="s">
        <v>1842</v>
      </c>
      <c r="B165" s="760">
        <v>39281</v>
      </c>
      <c r="C165" s="751">
        <v>1</v>
      </c>
      <c r="D165" s="758">
        <v>10</v>
      </c>
    </row>
    <row r="166" spans="1:4">
      <c r="A166" s="676" t="s">
        <v>1839</v>
      </c>
      <c r="B166" s="760">
        <v>39283</v>
      </c>
      <c r="C166" s="751">
        <v>1</v>
      </c>
      <c r="D166" s="758">
        <v>8</v>
      </c>
    </row>
    <row r="167" spans="1:4">
      <c r="A167" s="676" t="s">
        <v>1839</v>
      </c>
      <c r="B167" s="760">
        <v>39298</v>
      </c>
      <c r="C167" s="751">
        <v>1</v>
      </c>
      <c r="D167" s="758">
        <v>8</v>
      </c>
    </row>
    <row r="168" spans="1:4">
      <c r="A168" s="676" t="s">
        <v>1839</v>
      </c>
      <c r="B168" s="760">
        <v>39319</v>
      </c>
      <c r="C168" s="751">
        <v>1</v>
      </c>
      <c r="D168" s="758">
        <v>8</v>
      </c>
    </row>
    <row r="169" spans="1:4">
      <c r="A169" s="676" t="s">
        <v>1839</v>
      </c>
      <c r="B169" s="760">
        <v>39333</v>
      </c>
      <c r="C169" s="751">
        <v>1</v>
      </c>
      <c r="D169" s="758">
        <v>8</v>
      </c>
    </row>
    <row r="170" spans="1:4">
      <c r="A170" s="676" t="s">
        <v>1838</v>
      </c>
      <c r="B170" s="760">
        <v>39343</v>
      </c>
      <c r="C170" s="751">
        <v>1</v>
      </c>
      <c r="D170" s="758">
        <v>8</v>
      </c>
    </row>
    <row r="171" spans="1:4">
      <c r="A171" s="676" t="s">
        <v>1842</v>
      </c>
      <c r="B171" s="760">
        <v>39343</v>
      </c>
      <c r="C171" s="751">
        <v>1</v>
      </c>
      <c r="D171" s="758">
        <v>10</v>
      </c>
    </row>
    <row r="172" spans="1:4">
      <c r="A172" s="676" t="s">
        <v>1839</v>
      </c>
      <c r="B172" s="760">
        <v>39347</v>
      </c>
      <c r="C172" s="751">
        <v>1</v>
      </c>
      <c r="D172" s="758">
        <v>8</v>
      </c>
    </row>
    <row r="173" spans="1:4">
      <c r="A173" s="676" t="s">
        <v>1839</v>
      </c>
      <c r="B173" s="760">
        <v>39349</v>
      </c>
      <c r="C173" s="751">
        <v>1</v>
      </c>
      <c r="D173" s="758">
        <v>8</v>
      </c>
    </row>
    <row r="174" spans="1:4">
      <c r="A174" s="676" t="s">
        <v>1842</v>
      </c>
      <c r="B174" s="760">
        <v>39351</v>
      </c>
      <c r="C174" s="751">
        <v>1</v>
      </c>
      <c r="D174" s="758">
        <v>10</v>
      </c>
    </row>
    <row r="175" spans="1:4">
      <c r="A175" s="676" t="s">
        <v>1839</v>
      </c>
      <c r="B175" s="760">
        <v>39353</v>
      </c>
      <c r="C175" s="751">
        <v>1</v>
      </c>
      <c r="D175" s="758">
        <v>8</v>
      </c>
    </row>
    <row r="176" spans="1:4">
      <c r="A176" s="676" t="s">
        <v>1839</v>
      </c>
      <c r="B176" s="760">
        <v>39354</v>
      </c>
      <c r="C176" s="751">
        <v>1</v>
      </c>
      <c r="D176" s="758">
        <v>8</v>
      </c>
    </row>
    <row r="177" spans="1:4">
      <c r="A177" s="676" t="s">
        <v>1839</v>
      </c>
      <c r="B177" s="760">
        <v>39356</v>
      </c>
      <c r="C177" s="751">
        <v>1</v>
      </c>
      <c r="D177" s="758">
        <v>8</v>
      </c>
    </row>
    <row r="178" spans="1:4">
      <c r="A178" s="676" t="s">
        <v>1839</v>
      </c>
      <c r="B178" s="760">
        <v>39357</v>
      </c>
      <c r="C178" s="751">
        <v>1</v>
      </c>
      <c r="D178" s="758">
        <v>8</v>
      </c>
    </row>
    <row r="179" spans="1:4">
      <c r="A179" s="676" t="s">
        <v>1839</v>
      </c>
      <c r="B179" s="760">
        <v>39360</v>
      </c>
      <c r="C179" s="751">
        <v>1</v>
      </c>
      <c r="D179" s="758">
        <v>8</v>
      </c>
    </row>
    <row r="180" spans="1:4">
      <c r="A180" s="676" t="s">
        <v>1843</v>
      </c>
      <c r="B180" s="760">
        <v>39362</v>
      </c>
      <c r="C180" s="751">
        <v>1</v>
      </c>
      <c r="D180" s="758">
        <v>8</v>
      </c>
    </row>
    <row r="181" spans="1:4">
      <c r="A181" s="676" t="s">
        <v>1843</v>
      </c>
      <c r="B181" s="760">
        <v>39363</v>
      </c>
      <c r="C181" s="751">
        <v>1</v>
      </c>
      <c r="D181" s="758">
        <v>8</v>
      </c>
    </row>
    <row r="182" spans="1:4">
      <c r="A182" s="676" t="s">
        <v>1843</v>
      </c>
      <c r="B182" s="760">
        <v>39364</v>
      </c>
      <c r="C182" s="751">
        <v>1</v>
      </c>
      <c r="D182" s="758">
        <v>8</v>
      </c>
    </row>
    <row r="183" spans="1:4">
      <c r="A183" s="676" t="s">
        <v>1843</v>
      </c>
      <c r="B183" s="760">
        <v>39365</v>
      </c>
      <c r="C183" s="751">
        <v>1</v>
      </c>
      <c r="D183" s="758">
        <v>8</v>
      </c>
    </row>
    <row r="184" spans="1:4">
      <c r="A184" s="676" t="s">
        <v>1839</v>
      </c>
      <c r="B184" s="760">
        <v>39365</v>
      </c>
      <c r="C184" s="751">
        <v>1</v>
      </c>
      <c r="D184" s="758">
        <v>8</v>
      </c>
    </row>
    <row r="185" spans="1:4">
      <c r="A185" s="676" t="s">
        <v>1843</v>
      </c>
      <c r="B185" s="760">
        <v>39366</v>
      </c>
      <c r="C185" s="751">
        <v>1</v>
      </c>
      <c r="D185" s="758">
        <v>8</v>
      </c>
    </row>
    <row r="186" spans="1:4">
      <c r="A186" s="676" t="s">
        <v>1843</v>
      </c>
      <c r="B186" s="760">
        <v>39367</v>
      </c>
      <c r="C186" s="751">
        <v>1</v>
      </c>
      <c r="D186" s="758">
        <v>8</v>
      </c>
    </row>
    <row r="187" spans="1:4">
      <c r="A187" s="676" t="s">
        <v>1843</v>
      </c>
      <c r="B187" s="760">
        <v>39372</v>
      </c>
      <c r="C187" s="751">
        <v>1</v>
      </c>
      <c r="D187" s="758">
        <v>8</v>
      </c>
    </row>
    <row r="188" spans="1:4">
      <c r="A188" s="676" t="s">
        <v>1839</v>
      </c>
      <c r="B188" s="760">
        <v>39372</v>
      </c>
      <c r="C188" s="751">
        <v>1</v>
      </c>
      <c r="D188" s="758">
        <v>8</v>
      </c>
    </row>
    <row r="189" spans="1:4">
      <c r="A189" s="676" t="s">
        <v>1843</v>
      </c>
      <c r="B189" s="760">
        <v>39379</v>
      </c>
      <c r="C189" s="751">
        <v>1</v>
      </c>
      <c r="D189" s="758">
        <v>8</v>
      </c>
    </row>
    <row r="190" spans="1:4">
      <c r="A190" s="676" t="s">
        <v>1843</v>
      </c>
      <c r="B190" s="760">
        <v>39384</v>
      </c>
      <c r="C190" s="751">
        <v>1</v>
      </c>
      <c r="D190" s="758">
        <v>8</v>
      </c>
    </row>
    <row r="191" spans="1:4">
      <c r="A191" s="676" t="s">
        <v>1843</v>
      </c>
      <c r="B191" s="760">
        <v>39386</v>
      </c>
      <c r="C191" s="751">
        <v>1</v>
      </c>
      <c r="D191" s="758">
        <v>8</v>
      </c>
    </row>
    <row r="192" spans="1:4">
      <c r="A192" s="676" t="s">
        <v>1837</v>
      </c>
      <c r="B192" s="760">
        <v>39386</v>
      </c>
      <c r="C192" s="751">
        <v>1</v>
      </c>
      <c r="D192" s="758">
        <v>8</v>
      </c>
    </row>
    <row r="193" spans="1:4">
      <c r="A193" s="676" t="s">
        <v>1839</v>
      </c>
      <c r="B193" s="760">
        <v>39386</v>
      </c>
      <c r="C193" s="751">
        <v>1</v>
      </c>
      <c r="D193" s="758">
        <v>8</v>
      </c>
    </row>
    <row r="194" spans="1:4">
      <c r="A194" s="676" t="s">
        <v>1843</v>
      </c>
      <c r="B194" s="760">
        <v>39390</v>
      </c>
      <c r="C194" s="751">
        <v>1</v>
      </c>
      <c r="D194" s="758">
        <v>8</v>
      </c>
    </row>
    <row r="195" spans="1:4">
      <c r="A195" s="676" t="s">
        <v>1843</v>
      </c>
      <c r="B195" s="760">
        <v>39392</v>
      </c>
      <c r="C195" s="751">
        <v>1</v>
      </c>
      <c r="D195" s="758">
        <v>8</v>
      </c>
    </row>
    <row r="196" spans="1:4">
      <c r="A196" s="676" t="s">
        <v>1843</v>
      </c>
      <c r="B196" s="760">
        <v>39397</v>
      </c>
      <c r="C196" s="751">
        <v>1</v>
      </c>
      <c r="D196" s="758">
        <v>8</v>
      </c>
    </row>
    <row r="197" spans="1:4">
      <c r="A197" s="676" t="s">
        <v>1843</v>
      </c>
      <c r="B197" s="760">
        <v>39398</v>
      </c>
      <c r="C197" s="751">
        <v>1</v>
      </c>
      <c r="D197" s="758">
        <v>8</v>
      </c>
    </row>
    <row r="198" spans="1:4">
      <c r="A198" s="676" t="s">
        <v>1843</v>
      </c>
      <c r="B198" s="760">
        <v>39399</v>
      </c>
      <c r="C198" s="751">
        <v>1</v>
      </c>
      <c r="D198" s="758">
        <v>8</v>
      </c>
    </row>
    <row r="199" spans="1:4">
      <c r="A199" s="676" t="s">
        <v>1843</v>
      </c>
      <c r="B199" s="760">
        <v>39400</v>
      </c>
      <c r="C199" s="751">
        <v>1</v>
      </c>
      <c r="D199" s="758">
        <v>8</v>
      </c>
    </row>
    <row r="200" spans="1:4">
      <c r="A200" s="676" t="s">
        <v>1843</v>
      </c>
      <c r="B200" s="760">
        <v>39402</v>
      </c>
      <c r="C200" s="751">
        <v>1</v>
      </c>
      <c r="D200" s="758">
        <v>8</v>
      </c>
    </row>
    <row r="201" spans="1:4">
      <c r="A201" s="676" t="s">
        <v>1843</v>
      </c>
      <c r="B201" s="760">
        <v>39404</v>
      </c>
      <c r="C201" s="751">
        <v>1</v>
      </c>
      <c r="D201" s="758">
        <v>8</v>
      </c>
    </row>
    <row r="202" spans="1:4">
      <c r="A202" s="676" t="s">
        <v>1843</v>
      </c>
      <c r="B202" s="760">
        <v>39405</v>
      </c>
      <c r="C202" s="751">
        <v>1</v>
      </c>
      <c r="D202" s="758">
        <v>8</v>
      </c>
    </row>
    <row r="203" spans="1:4">
      <c r="A203" s="676" t="s">
        <v>1843</v>
      </c>
      <c r="B203" s="760">
        <v>39406</v>
      </c>
      <c r="C203" s="751">
        <v>1</v>
      </c>
      <c r="D203" s="758">
        <v>8</v>
      </c>
    </row>
    <row r="204" spans="1:4">
      <c r="A204" s="676" t="s">
        <v>1839</v>
      </c>
      <c r="B204" s="760">
        <v>39406</v>
      </c>
      <c r="C204" s="751">
        <v>1</v>
      </c>
      <c r="D204" s="758">
        <v>8</v>
      </c>
    </row>
    <row r="205" spans="1:4">
      <c r="A205" s="676" t="s">
        <v>1843</v>
      </c>
      <c r="B205" s="760">
        <v>39407</v>
      </c>
      <c r="C205" s="751">
        <v>1</v>
      </c>
      <c r="D205" s="758">
        <v>8</v>
      </c>
    </row>
    <row r="206" spans="1:4">
      <c r="A206" s="676" t="s">
        <v>1842</v>
      </c>
      <c r="B206" s="760">
        <v>39407</v>
      </c>
      <c r="C206" s="751">
        <v>1</v>
      </c>
      <c r="D206" s="758">
        <v>10</v>
      </c>
    </row>
    <row r="207" spans="1:4">
      <c r="A207" s="676" t="s">
        <v>1839</v>
      </c>
      <c r="B207" s="760">
        <v>39407</v>
      </c>
      <c r="C207" s="751">
        <v>1</v>
      </c>
      <c r="D207" s="758">
        <v>8</v>
      </c>
    </row>
    <row r="208" spans="1:4">
      <c r="A208" s="676" t="s">
        <v>1843</v>
      </c>
      <c r="B208" s="760">
        <v>39408</v>
      </c>
      <c r="C208" s="751">
        <v>1</v>
      </c>
      <c r="D208" s="758">
        <v>8</v>
      </c>
    </row>
    <row r="209" spans="1:4">
      <c r="A209" s="676" t="s">
        <v>1843</v>
      </c>
      <c r="B209" s="760">
        <v>39409</v>
      </c>
      <c r="C209" s="751">
        <v>1</v>
      </c>
      <c r="D209" s="758">
        <v>8</v>
      </c>
    </row>
    <row r="210" spans="1:4">
      <c r="A210" s="676" t="s">
        <v>1843</v>
      </c>
      <c r="B210" s="760">
        <v>39410</v>
      </c>
      <c r="C210" s="751">
        <v>1</v>
      </c>
      <c r="D210" s="758">
        <v>8</v>
      </c>
    </row>
    <row r="211" spans="1:4">
      <c r="A211" s="676" t="s">
        <v>1839</v>
      </c>
      <c r="B211" s="760">
        <v>39411</v>
      </c>
      <c r="C211" s="751">
        <v>1</v>
      </c>
      <c r="D211" s="758">
        <v>8</v>
      </c>
    </row>
    <row r="212" spans="1:4">
      <c r="A212" s="676" t="s">
        <v>1843</v>
      </c>
      <c r="B212" s="760">
        <v>39412</v>
      </c>
      <c r="C212" s="751">
        <v>1</v>
      </c>
      <c r="D212" s="758">
        <v>8</v>
      </c>
    </row>
    <row r="213" spans="1:4">
      <c r="A213" s="676" t="s">
        <v>1842</v>
      </c>
      <c r="B213" s="760">
        <v>39412</v>
      </c>
      <c r="C213" s="751">
        <v>1</v>
      </c>
      <c r="D213" s="758">
        <v>10</v>
      </c>
    </row>
    <row r="214" spans="1:4">
      <c r="A214" s="676" t="s">
        <v>1841</v>
      </c>
      <c r="B214" s="760">
        <v>39413</v>
      </c>
      <c r="C214" s="751">
        <v>1</v>
      </c>
      <c r="D214" s="758">
        <v>8</v>
      </c>
    </row>
    <row r="215" spans="1:4">
      <c r="A215" s="676" t="s">
        <v>1843</v>
      </c>
      <c r="B215" s="760">
        <v>39416</v>
      </c>
      <c r="C215" s="751">
        <v>1</v>
      </c>
      <c r="D215" s="758">
        <v>8</v>
      </c>
    </row>
    <row r="216" spans="1:4">
      <c r="A216" s="676" t="s">
        <v>1843</v>
      </c>
      <c r="B216" s="760">
        <v>39417</v>
      </c>
      <c r="C216" s="751">
        <v>1</v>
      </c>
      <c r="D216" s="758">
        <v>8</v>
      </c>
    </row>
    <row r="217" spans="1:4">
      <c r="A217" s="676" t="s">
        <v>1839</v>
      </c>
      <c r="B217" s="760">
        <v>39417</v>
      </c>
      <c r="C217" s="751">
        <v>1</v>
      </c>
      <c r="D217" s="758">
        <v>8</v>
      </c>
    </row>
    <row r="218" spans="1:4">
      <c r="A218" s="676" t="s">
        <v>1843</v>
      </c>
      <c r="B218" s="760">
        <v>39419</v>
      </c>
      <c r="C218" s="751">
        <v>1</v>
      </c>
      <c r="D218" s="758">
        <v>8</v>
      </c>
    </row>
    <row r="219" spans="1:4">
      <c r="A219" s="676" t="s">
        <v>1843</v>
      </c>
      <c r="B219" s="760">
        <v>39420</v>
      </c>
      <c r="C219" s="751">
        <v>1</v>
      </c>
      <c r="D219" s="758">
        <v>8</v>
      </c>
    </row>
    <row r="220" spans="1:4">
      <c r="A220" s="676" t="s">
        <v>1843</v>
      </c>
      <c r="B220" s="760">
        <v>39421</v>
      </c>
      <c r="C220" s="751">
        <v>1</v>
      </c>
      <c r="D220" s="758">
        <v>8</v>
      </c>
    </row>
    <row r="221" spans="1:4">
      <c r="A221" s="676" t="s">
        <v>1841</v>
      </c>
      <c r="B221" s="760">
        <v>39421</v>
      </c>
      <c r="C221" s="751">
        <v>1</v>
      </c>
      <c r="D221" s="758">
        <v>8</v>
      </c>
    </row>
    <row r="222" spans="1:4">
      <c r="A222" s="676" t="s">
        <v>1843</v>
      </c>
      <c r="B222" s="760">
        <v>39422</v>
      </c>
      <c r="C222" s="751">
        <v>1</v>
      </c>
      <c r="D222" s="758">
        <v>8</v>
      </c>
    </row>
    <row r="223" spans="1:4">
      <c r="A223" s="676" t="s">
        <v>1841</v>
      </c>
      <c r="B223" s="760">
        <v>39422</v>
      </c>
      <c r="C223" s="751">
        <v>1</v>
      </c>
      <c r="D223" s="758">
        <v>8</v>
      </c>
    </row>
    <row r="224" spans="1:4">
      <c r="A224" s="676" t="s">
        <v>1843</v>
      </c>
      <c r="B224" s="760">
        <v>39423</v>
      </c>
      <c r="C224" s="751">
        <v>1</v>
      </c>
      <c r="D224" s="758">
        <v>8</v>
      </c>
    </row>
    <row r="225" spans="1:4">
      <c r="A225" s="676" t="s">
        <v>1843</v>
      </c>
      <c r="B225" s="760">
        <v>39424</v>
      </c>
      <c r="C225" s="751">
        <v>1</v>
      </c>
      <c r="D225" s="758">
        <v>8</v>
      </c>
    </row>
    <row r="226" spans="1:4">
      <c r="A226" s="676" t="s">
        <v>1839</v>
      </c>
      <c r="B226" s="760">
        <v>39425</v>
      </c>
      <c r="C226" s="751">
        <v>1</v>
      </c>
      <c r="D226" s="758">
        <v>8</v>
      </c>
    </row>
    <row r="227" spans="1:4">
      <c r="A227" s="676" t="s">
        <v>1843</v>
      </c>
      <c r="B227" s="760">
        <v>39426</v>
      </c>
      <c r="C227" s="751">
        <v>1</v>
      </c>
      <c r="D227" s="758">
        <v>8</v>
      </c>
    </row>
    <row r="228" spans="1:4">
      <c r="A228" s="676" t="s">
        <v>1843</v>
      </c>
      <c r="B228" s="760">
        <v>39427</v>
      </c>
      <c r="C228" s="751">
        <v>1</v>
      </c>
      <c r="D228" s="758">
        <v>8</v>
      </c>
    </row>
    <row r="229" spans="1:4">
      <c r="A229" s="676" t="s">
        <v>1839</v>
      </c>
      <c r="B229" s="760">
        <v>39428</v>
      </c>
      <c r="C229" s="751">
        <v>1</v>
      </c>
      <c r="D229" s="758">
        <v>8</v>
      </c>
    </row>
    <row r="230" spans="1:4">
      <c r="A230" s="676" t="s">
        <v>1841</v>
      </c>
      <c r="B230" s="760">
        <v>39428</v>
      </c>
      <c r="C230" s="751">
        <v>1</v>
      </c>
      <c r="D230" s="758">
        <v>8</v>
      </c>
    </row>
    <row r="231" spans="1:4">
      <c r="A231" s="676" t="s">
        <v>1843</v>
      </c>
      <c r="B231" s="760">
        <v>39429</v>
      </c>
      <c r="C231" s="751">
        <v>1</v>
      </c>
      <c r="D231" s="758">
        <v>8</v>
      </c>
    </row>
    <row r="232" spans="1:4">
      <c r="A232" s="676" t="s">
        <v>1841</v>
      </c>
      <c r="B232" s="760">
        <v>39433</v>
      </c>
      <c r="C232" s="751">
        <v>1</v>
      </c>
      <c r="D232" s="758">
        <v>8</v>
      </c>
    </row>
    <row r="233" spans="1:4">
      <c r="A233" s="676" t="s">
        <v>1839</v>
      </c>
      <c r="B233" s="760">
        <v>39434</v>
      </c>
      <c r="C233" s="751">
        <v>1</v>
      </c>
      <c r="D233" s="758">
        <v>8</v>
      </c>
    </row>
    <row r="234" spans="1:4">
      <c r="A234" s="676" t="s">
        <v>1841</v>
      </c>
      <c r="B234" s="760">
        <v>39438</v>
      </c>
      <c r="C234" s="751">
        <v>1</v>
      </c>
      <c r="D234" s="758">
        <v>8</v>
      </c>
    </row>
    <row r="235" spans="1:4">
      <c r="A235" s="676" t="s">
        <v>1838</v>
      </c>
      <c r="B235" s="760">
        <v>39450</v>
      </c>
      <c r="C235" s="751">
        <v>1</v>
      </c>
      <c r="D235" s="758">
        <v>8</v>
      </c>
    </row>
    <row r="236" spans="1:4">
      <c r="A236" s="676" t="s">
        <v>1842</v>
      </c>
      <c r="B236" s="760">
        <v>39450</v>
      </c>
      <c r="C236" s="751">
        <v>1</v>
      </c>
      <c r="D236" s="758">
        <v>10</v>
      </c>
    </row>
    <row r="237" spans="1:4">
      <c r="A237" s="676" t="s">
        <v>1842</v>
      </c>
      <c r="B237" s="760">
        <v>39454</v>
      </c>
      <c r="C237" s="751">
        <v>1</v>
      </c>
      <c r="D237" s="758">
        <v>10</v>
      </c>
    </row>
    <row r="238" spans="1:4">
      <c r="A238" s="676" t="s">
        <v>1842</v>
      </c>
      <c r="B238" s="760">
        <v>39457</v>
      </c>
      <c r="C238" s="751">
        <v>1</v>
      </c>
      <c r="D238" s="758">
        <v>10</v>
      </c>
    </row>
    <row r="239" spans="1:4">
      <c r="A239" s="676" t="s">
        <v>1840</v>
      </c>
      <c r="B239" s="760">
        <v>39457</v>
      </c>
      <c r="C239" s="751">
        <v>1</v>
      </c>
      <c r="D239" s="758">
        <v>15</v>
      </c>
    </row>
    <row r="240" spans="1:4">
      <c r="A240" s="676" t="s">
        <v>1843</v>
      </c>
      <c r="B240" s="760">
        <v>39458</v>
      </c>
      <c r="C240" s="751">
        <v>1</v>
      </c>
      <c r="D240" s="758">
        <v>8</v>
      </c>
    </row>
    <row r="241" spans="1:4">
      <c r="A241" s="676" t="s">
        <v>1839</v>
      </c>
      <c r="B241" s="760">
        <v>39458</v>
      </c>
      <c r="C241" s="751">
        <v>1</v>
      </c>
      <c r="D241" s="758">
        <v>8</v>
      </c>
    </row>
    <row r="242" spans="1:4">
      <c r="A242" s="676" t="s">
        <v>1843</v>
      </c>
      <c r="B242" s="760">
        <v>39462</v>
      </c>
      <c r="C242" s="751">
        <v>1</v>
      </c>
      <c r="D242" s="758">
        <v>8</v>
      </c>
    </row>
    <row r="243" spans="1:4">
      <c r="A243" s="676" t="s">
        <v>1842</v>
      </c>
      <c r="B243" s="760">
        <v>39462</v>
      </c>
      <c r="C243" s="751">
        <v>1</v>
      </c>
      <c r="D243" s="758">
        <v>10</v>
      </c>
    </row>
    <row r="244" spans="1:4">
      <c r="A244" s="676" t="s">
        <v>1843</v>
      </c>
      <c r="B244" s="760">
        <v>39463</v>
      </c>
      <c r="C244" s="751">
        <v>1</v>
      </c>
      <c r="D244" s="758">
        <v>8</v>
      </c>
    </row>
    <row r="245" spans="1:4">
      <c r="A245" s="676" t="s">
        <v>1842</v>
      </c>
      <c r="B245" s="760">
        <v>39463</v>
      </c>
      <c r="C245" s="751">
        <v>1</v>
      </c>
      <c r="D245" s="758">
        <v>10</v>
      </c>
    </row>
    <row r="246" spans="1:4">
      <c r="A246" s="676" t="s">
        <v>1839</v>
      </c>
      <c r="B246" s="760">
        <v>39466</v>
      </c>
      <c r="C246" s="751">
        <v>1</v>
      </c>
      <c r="D246" s="758">
        <v>8</v>
      </c>
    </row>
    <row r="247" spans="1:4">
      <c r="A247" s="676" t="s">
        <v>1842</v>
      </c>
      <c r="B247" s="760">
        <v>39468</v>
      </c>
      <c r="C247" s="751">
        <v>1</v>
      </c>
      <c r="D247" s="758">
        <v>10</v>
      </c>
    </row>
    <row r="248" spans="1:4">
      <c r="A248" s="676" t="s">
        <v>1839</v>
      </c>
      <c r="B248" s="760">
        <v>39476</v>
      </c>
      <c r="C248" s="751">
        <v>1</v>
      </c>
      <c r="D248" s="758">
        <v>8</v>
      </c>
    </row>
    <row r="249" spans="1:4">
      <c r="A249" s="676" t="s">
        <v>1837</v>
      </c>
      <c r="B249" s="760">
        <v>39492</v>
      </c>
      <c r="C249" s="751">
        <v>1</v>
      </c>
      <c r="D249" s="758">
        <v>8</v>
      </c>
    </row>
    <row r="250" spans="1:4">
      <c r="A250" s="676" t="s">
        <v>1842</v>
      </c>
      <c r="B250" s="760">
        <v>39493</v>
      </c>
      <c r="C250" s="751">
        <v>1</v>
      </c>
      <c r="D250" s="758">
        <v>10</v>
      </c>
    </row>
    <row r="251" spans="1:4">
      <c r="A251" s="676" t="s">
        <v>1839</v>
      </c>
      <c r="B251" s="760">
        <v>39493</v>
      </c>
      <c r="C251" s="751">
        <v>1</v>
      </c>
      <c r="D251" s="758">
        <v>8</v>
      </c>
    </row>
    <row r="252" spans="1:4">
      <c r="A252" s="676" t="s">
        <v>1839</v>
      </c>
      <c r="B252" s="760">
        <v>39494</v>
      </c>
      <c r="C252" s="751">
        <v>1</v>
      </c>
      <c r="D252" s="758">
        <v>8</v>
      </c>
    </row>
    <row r="253" spans="1:4">
      <c r="A253" s="676" t="s">
        <v>1838</v>
      </c>
      <c r="B253" s="760">
        <v>39496</v>
      </c>
      <c r="C253" s="751">
        <v>1</v>
      </c>
      <c r="D253" s="758">
        <v>8</v>
      </c>
    </row>
    <row r="254" spans="1:4">
      <c r="A254" s="676" t="s">
        <v>1839</v>
      </c>
      <c r="B254" s="760">
        <v>39503</v>
      </c>
      <c r="C254" s="751">
        <v>1</v>
      </c>
      <c r="D254" s="758">
        <v>8</v>
      </c>
    </row>
    <row r="255" spans="1:4">
      <c r="A255" s="676" t="s">
        <v>1837</v>
      </c>
      <c r="B255" s="760">
        <v>39504</v>
      </c>
      <c r="C255" s="751">
        <v>1</v>
      </c>
      <c r="D255" s="758">
        <v>8</v>
      </c>
    </row>
    <row r="256" spans="1:4">
      <c r="A256" s="676" t="s">
        <v>1838</v>
      </c>
      <c r="B256" s="760">
        <v>39506</v>
      </c>
      <c r="C256" s="751">
        <v>1</v>
      </c>
      <c r="D256" s="758">
        <v>8</v>
      </c>
    </row>
    <row r="257" spans="1:4">
      <c r="A257" s="676" t="s">
        <v>1842</v>
      </c>
      <c r="B257" s="760">
        <v>39506</v>
      </c>
      <c r="C257" s="751">
        <v>1</v>
      </c>
      <c r="D257" s="758">
        <v>10</v>
      </c>
    </row>
    <row r="258" spans="1:4">
      <c r="A258" s="676" t="s">
        <v>1842</v>
      </c>
      <c r="B258" s="760">
        <v>39510</v>
      </c>
      <c r="C258" s="751">
        <v>1</v>
      </c>
      <c r="D258" s="758">
        <v>10</v>
      </c>
    </row>
    <row r="259" spans="1:4">
      <c r="A259" s="676" t="s">
        <v>1839</v>
      </c>
      <c r="B259" s="760">
        <v>39511</v>
      </c>
      <c r="C259" s="751">
        <v>1</v>
      </c>
      <c r="D259" s="758">
        <v>8</v>
      </c>
    </row>
    <row r="260" spans="1:4">
      <c r="A260" s="676" t="s">
        <v>1839</v>
      </c>
      <c r="B260" s="760">
        <v>39513</v>
      </c>
      <c r="C260" s="751">
        <v>1</v>
      </c>
      <c r="D260" s="758">
        <v>8</v>
      </c>
    </row>
    <row r="261" spans="1:4">
      <c r="A261" s="676" t="s">
        <v>1839</v>
      </c>
      <c r="B261" s="760">
        <v>39515</v>
      </c>
      <c r="C261" s="751">
        <v>1</v>
      </c>
      <c r="D261" s="758">
        <v>8</v>
      </c>
    </row>
    <row r="262" spans="1:4">
      <c r="A262" s="676" t="s">
        <v>1839</v>
      </c>
      <c r="B262" s="760">
        <v>39517</v>
      </c>
      <c r="C262" s="751">
        <v>1</v>
      </c>
      <c r="D262" s="758">
        <v>8</v>
      </c>
    </row>
    <row r="263" spans="1:4">
      <c r="A263" s="676" t="s">
        <v>1841</v>
      </c>
      <c r="B263" s="760">
        <v>39517</v>
      </c>
      <c r="C263" s="751">
        <v>1</v>
      </c>
      <c r="D263" s="758">
        <v>8</v>
      </c>
    </row>
    <row r="264" spans="1:4">
      <c r="A264" s="676" t="s">
        <v>1839</v>
      </c>
      <c r="B264" s="760">
        <v>39518</v>
      </c>
      <c r="C264" s="751">
        <v>1</v>
      </c>
      <c r="D264" s="758">
        <v>8</v>
      </c>
    </row>
    <row r="265" spans="1:4">
      <c r="A265" s="676" t="s">
        <v>1839</v>
      </c>
      <c r="B265" s="760">
        <v>39520</v>
      </c>
      <c r="C265" s="751">
        <v>1</v>
      </c>
      <c r="D265" s="758">
        <v>8</v>
      </c>
    </row>
    <row r="266" spans="1:4">
      <c r="A266" s="676" t="s">
        <v>1842</v>
      </c>
      <c r="B266" s="760">
        <v>39521</v>
      </c>
      <c r="C266" s="751">
        <v>1</v>
      </c>
      <c r="D266" s="758">
        <v>10</v>
      </c>
    </row>
    <row r="267" spans="1:4">
      <c r="A267" s="676" t="s">
        <v>1839</v>
      </c>
      <c r="B267" s="760">
        <v>39528</v>
      </c>
      <c r="C267" s="751">
        <v>1</v>
      </c>
      <c r="D267" s="758">
        <v>8</v>
      </c>
    </row>
    <row r="268" spans="1:4">
      <c r="A268" s="676" t="s">
        <v>1842</v>
      </c>
      <c r="B268" s="760">
        <v>39530</v>
      </c>
      <c r="C268" s="751">
        <v>1</v>
      </c>
      <c r="D268" s="758">
        <v>10</v>
      </c>
    </row>
    <row r="269" spans="1:4">
      <c r="A269" s="676" t="s">
        <v>1842</v>
      </c>
      <c r="B269" s="760">
        <v>39532</v>
      </c>
      <c r="C269" s="751">
        <v>1</v>
      </c>
      <c r="D269" s="758">
        <v>10</v>
      </c>
    </row>
    <row r="270" spans="1:4">
      <c r="A270" s="676" t="s">
        <v>1839</v>
      </c>
      <c r="B270" s="760">
        <v>39533</v>
      </c>
      <c r="C270" s="751">
        <v>1</v>
      </c>
      <c r="D270" s="758">
        <v>8</v>
      </c>
    </row>
    <row r="271" spans="1:4">
      <c r="A271" s="676" t="s">
        <v>1842</v>
      </c>
      <c r="B271" s="760">
        <v>39535</v>
      </c>
      <c r="C271" s="751">
        <v>1</v>
      </c>
      <c r="D271" s="758">
        <v>10</v>
      </c>
    </row>
    <row r="272" spans="1:4">
      <c r="A272" s="676" t="s">
        <v>1839</v>
      </c>
      <c r="B272" s="760">
        <v>39536</v>
      </c>
      <c r="C272" s="751">
        <v>1</v>
      </c>
      <c r="D272" s="758">
        <v>8</v>
      </c>
    </row>
    <row r="273" spans="1:4">
      <c r="A273" s="676" t="s">
        <v>1838</v>
      </c>
      <c r="B273" s="760">
        <v>39630</v>
      </c>
      <c r="C273" s="751">
        <v>1</v>
      </c>
      <c r="D273" s="758">
        <v>8</v>
      </c>
    </row>
    <row r="274" spans="1:4">
      <c r="A274" s="676" t="s">
        <v>1837</v>
      </c>
      <c r="B274" s="760">
        <v>39645</v>
      </c>
      <c r="C274" s="751">
        <v>1</v>
      </c>
      <c r="D274" s="758">
        <v>8</v>
      </c>
    </row>
    <row r="275" spans="1:4">
      <c r="A275" s="676" t="s">
        <v>1843</v>
      </c>
      <c r="B275" s="760">
        <v>39763</v>
      </c>
      <c r="C275" s="751">
        <v>1</v>
      </c>
      <c r="D275" s="758">
        <v>8</v>
      </c>
    </row>
    <row r="276" spans="1:4">
      <c r="A276" s="676" t="s">
        <v>1843</v>
      </c>
      <c r="B276" s="760">
        <v>39765</v>
      </c>
      <c r="C276" s="751">
        <v>1</v>
      </c>
      <c r="D276" s="758">
        <v>8</v>
      </c>
    </row>
    <row r="277" spans="1:4">
      <c r="A277" s="676" t="s">
        <v>1843</v>
      </c>
      <c r="B277" s="760">
        <v>39771</v>
      </c>
      <c r="C277" s="751">
        <v>1</v>
      </c>
      <c r="D277" s="758">
        <v>8</v>
      </c>
    </row>
    <row r="278" spans="1:4">
      <c r="A278" s="676" t="s">
        <v>1843</v>
      </c>
      <c r="B278" s="760">
        <v>39773</v>
      </c>
      <c r="C278" s="751">
        <v>1</v>
      </c>
      <c r="D278" s="758">
        <v>8</v>
      </c>
    </row>
    <row r="279" spans="1:4">
      <c r="A279" s="676" t="s">
        <v>1843</v>
      </c>
      <c r="B279" s="760">
        <v>39774</v>
      </c>
      <c r="C279" s="751">
        <v>1</v>
      </c>
      <c r="D279" s="758">
        <v>8</v>
      </c>
    </row>
    <row r="280" spans="1:4">
      <c r="A280" s="676" t="s">
        <v>1843</v>
      </c>
      <c r="B280" s="760">
        <v>39777</v>
      </c>
      <c r="C280" s="751">
        <v>1</v>
      </c>
      <c r="D280" s="758">
        <v>8</v>
      </c>
    </row>
    <row r="281" spans="1:4">
      <c r="A281" s="676" t="s">
        <v>1843</v>
      </c>
      <c r="B281" s="760">
        <v>39779</v>
      </c>
      <c r="C281" s="751">
        <v>1</v>
      </c>
      <c r="D281" s="758">
        <v>8</v>
      </c>
    </row>
    <row r="282" spans="1:4">
      <c r="A282" s="676" t="s">
        <v>1843</v>
      </c>
      <c r="B282" s="760">
        <v>39788</v>
      </c>
      <c r="C282" s="751">
        <v>1</v>
      </c>
      <c r="D282" s="758">
        <v>8</v>
      </c>
    </row>
    <row r="283" spans="1:4">
      <c r="A283" s="676" t="s">
        <v>1843</v>
      </c>
      <c r="B283" s="760">
        <v>39812</v>
      </c>
      <c r="C283" s="751">
        <v>1</v>
      </c>
      <c r="D283" s="758">
        <v>8</v>
      </c>
    </row>
    <row r="284" spans="1:4">
      <c r="A284" s="676" t="s">
        <v>1843</v>
      </c>
      <c r="B284" s="760">
        <v>39813</v>
      </c>
      <c r="C284" s="751">
        <v>1</v>
      </c>
      <c r="D284" s="758">
        <v>8</v>
      </c>
    </row>
    <row r="285" spans="1:4">
      <c r="A285" s="676" t="s">
        <v>1843</v>
      </c>
      <c r="B285" s="760">
        <v>39815</v>
      </c>
      <c r="C285" s="751">
        <v>1</v>
      </c>
      <c r="D285" s="758">
        <v>8</v>
      </c>
    </row>
    <row r="286" spans="1:4">
      <c r="A286" s="676" t="s">
        <v>1843</v>
      </c>
      <c r="B286" s="760">
        <v>39816</v>
      </c>
      <c r="C286" s="751">
        <v>1</v>
      </c>
      <c r="D286" s="758">
        <v>8</v>
      </c>
    </row>
    <row r="287" spans="1:4">
      <c r="A287" s="676" t="s">
        <v>1843</v>
      </c>
      <c r="B287" s="760">
        <v>39820</v>
      </c>
      <c r="C287" s="751">
        <v>1</v>
      </c>
      <c r="D287" s="758">
        <v>8</v>
      </c>
    </row>
    <row r="288" spans="1:4">
      <c r="A288" s="676" t="s">
        <v>1843</v>
      </c>
      <c r="B288" s="760">
        <v>39821</v>
      </c>
      <c r="C288" s="751">
        <v>1</v>
      </c>
      <c r="D288" s="758">
        <v>8</v>
      </c>
    </row>
    <row r="289" spans="1:4">
      <c r="A289" s="676" t="s">
        <v>1843</v>
      </c>
      <c r="B289" s="760">
        <v>39824</v>
      </c>
      <c r="C289" s="751">
        <v>1</v>
      </c>
      <c r="D289" s="758">
        <v>8</v>
      </c>
    </row>
    <row r="290" spans="1:4">
      <c r="A290" s="676" t="s">
        <v>1843</v>
      </c>
      <c r="B290" s="760">
        <v>39833</v>
      </c>
      <c r="C290" s="751">
        <v>1</v>
      </c>
      <c r="D290" s="758">
        <v>8</v>
      </c>
    </row>
    <row r="291" spans="1:4">
      <c r="A291" s="676" t="s">
        <v>1840</v>
      </c>
      <c r="B291" s="760">
        <v>39854</v>
      </c>
      <c r="C291" s="751">
        <v>1</v>
      </c>
      <c r="D291" s="758">
        <v>15</v>
      </c>
    </row>
    <row r="292" spans="1:4">
      <c r="A292" s="676" t="s">
        <v>1843</v>
      </c>
      <c r="B292" s="760">
        <v>39862</v>
      </c>
      <c r="C292" s="751">
        <v>1</v>
      </c>
      <c r="D292" s="758">
        <v>8</v>
      </c>
    </row>
    <row r="293" spans="1:4">
      <c r="A293" s="676" t="s">
        <v>1843</v>
      </c>
      <c r="B293" s="760">
        <v>39875</v>
      </c>
      <c r="C293" s="751">
        <v>1</v>
      </c>
      <c r="D293" s="758">
        <v>8</v>
      </c>
    </row>
    <row r="294" spans="1:4">
      <c r="A294" s="676" t="s">
        <v>1843</v>
      </c>
      <c r="B294" s="760">
        <v>39883</v>
      </c>
      <c r="C294" s="751">
        <v>1</v>
      </c>
      <c r="D294" s="758">
        <v>8</v>
      </c>
    </row>
    <row r="295" spans="1:4">
      <c r="A295" s="676" t="s">
        <v>1838</v>
      </c>
      <c r="B295" s="760">
        <v>39886</v>
      </c>
      <c r="C295" s="751">
        <v>1</v>
      </c>
      <c r="D295" s="758">
        <v>8</v>
      </c>
    </row>
    <row r="296" spans="1:4">
      <c r="A296" s="676" t="s">
        <v>1843</v>
      </c>
      <c r="B296" s="760">
        <v>39892</v>
      </c>
      <c r="C296" s="751">
        <v>1</v>
      </c>
      <c r="D296" s="758">
        <v>8</v>
      </c>
    </row>
    <row r="297" spans="1:4">
      <c r="A297" s="676" t="s">
        <v>1838</v>
      </c>
      <c r="B297" s="760">
        <v>39897</v>
      </c>
      <c r="C297" s="751">
        <v>1</v>
      </c>
      <c r="D297" s="758">
        <v>8</v>
      </c>
    </row>
    <row r="298" spans="1:4">
      <c r="A298" s="676" t="s">
        <v>1842</v>
      </c>
      <c r="B298" s="760">
        <v>39903</v>
      </c>
      <c r="C298" s="751">
        <v>1</v>
      </c>
      <c r="D298" s="758">
        <v>10</v>
      </c>
    </row>
    <row r="299" spans="1:4">
      <c r="A299" s="676" t="s">
        <v>1839</v>
      </c>
      <c r="B299" s="760">
        <v>39903</v>
      </c>
      <c r="C299" s="751">
        <v>1</v>
      </c>
      <c r="D299" s="758">
        <v>8</v>
      </c>
    </row>
    <row r="300" spans="1:4">
      <c r="A300" s="676" t="s">
        <v>1841</v>
      </c>
      <c r="B300" s="760">
        <v>39903</v>
      </c>
      <c r="C300" s="751">
        <v>1</v>
      </c>
      <c r="D300" s="758">
        <v>8</v>
      </c>
    </row>
    <row r="301" spans="1:4">
      <c r="A301" s="676" t="s">
        <v>1839</v>
      </c>
      <c r="B301" s="760">
        <v>39914</v>
      </c>
      <c r="C301" s="751">
        <v>1</v>
      </c>
      <c r="D301" s="758">
        <v>8</v>
      </c>
    </row>
    <row r="302" spans="1:4">
      <c r="A302" s="676" t="s">
        <v>1839</v>
      </c>
      <c r="B302" s="760">
        <v>39926</v>
      </c>
      <c r="C302" s="751">
        <v>1</v>
      </c>
      <c r="D302" s="758">
        <v>8</v>
      </c>
    </row>
    <row r="303" spans="1:4">
      <c r="A303" s="676" t="s">
        <v>1839</v>
      </c>
      <c r="B303" s="760">
        <v>39931</v>
      </c>
      <c r="C303" s="751">
        <v>1</v>
      </c>
      <c r="D303" s="758">
        <v>8</v>
      </c>
    </row>
    <row r="304" spans="1:4">
      <c r="A304" s="676" t="s">
        <v>1842</v>
      </c>
      <c r="B304" s="760">
        <v>39933</v>
      </c>
      <c r="C304" s="751">
        <v>1</v>
      </c>
      <c r="D304" s="758">
        <v>10</v>
      </c>
    </row>
    <row r="305" spans="1:4">
      <c r="A305" s="676" t="s">
        <v>1842</v>
      </c>
      <c r="B305" s="760">
        <v>39934</v>
      </c>
      <c r="C305" s="751">
        <v>1</v>
      </c>
      <c r="D305" s="758">
        <v>10</v>
      </c>
    </row>
    <row r="306" spans="1:4">
      <c r="A306" s="676" t="s">
        <v>1838</v>
      </c>
      <c r="B306" s="760">
        <v>39935</v>
      </c>
      <c r="C306" s="751">
        <v>1</v>
      </c>
      <c r="D306" s="758">
        <v>8</v>
      </c>
    </row>
    <row r="307" spans="1:4">
      <c r="A307" s="676" t="s">
        <v>1839</v>
      </c>
      <c r="B307" s="760">
        <v>39935</v>
      </c>
      <c r="C307" s="751">
        <v>1</v>
      </c>
      <c r="D307" s="758">
        <v>8</v>
      </c>
    </row>
    <row r="308" spans="1:4">
      <c r="A308" s="676" t="s">
        <v>1839</v>
      </c>
      <c r="B308" s="760">
        <v>39939</v>
      </c>
      <c r="C308" s="751">
        <v>1</v>
      </c>
      <c r="D308" s="758">
        <v>8</v>
      </c>
    </row>
    <row r="309" spans="1:4">
      <c r="A309" s="676" t="s">
        <v>1839</v>
      </c>
      <c r="B309" s="760">
        <v>39940</v>
      </c>
      <c r="C309" s="751">
        <v>1</v>
      </c>
      <c r="D309" s="758">
        <v>8</v>
      </c>
    </row>
    <row r="310" spans="1:4">
      <c r="A310" s="676" t="s">
        <v>1839</v>
      </c>
      <c r="B310" s="760">
        <v>39941</v>
      </c>
      <c r="C310" s="751">
        <v>1</v>
      </c>
      <c r="D310" s="758">
        <v>8</v>
      </c>
    </row>
    <row r="311" spans="1:4">
      <c r="A311" s="676" t="s">
        <v>1839</v>
      </c>
      <c r="B311" s="760">
        <v>39942</v>
      </c>
      <c r="C311" s="751">
        <v>1</v>
      </c>
      <c r="D311" s="758">
        <v>8</v>
      </c>
    </row>
    <row r="312" spans="1:4">
      <c r="A312" s="676" t="s">
        <v>1839</v>
      </c>
      <c r="B312" s="760">
        <v>39946</v>
      </c>
      <c r="C312" s="751">
        <v>1</v>
      </c>
      <c r="D312" s="758">
        <v>8</v>
      </c>
    </row>
    <row r="313" spans="1:4">
      <c r="A313" s="676" t="s">
        <v>1839</v>
      </c>
      <c r="B313" s="760">
        <v>39947</v>
      </c>
      <c r="C313" s="751">
        <v>1</v>
      </c>
      <c r="D313" s="758">
        <v>8</v>
      </c>
    </row>
    <row r="314" spans="1:4">
      <c r="A314" s="676" t="s">
        <v>1842</v>
      </c>
      <c r="B314" s="760">
        <v>39953</v>
      </c>
      <c r="C314" s="751">
        <v>1</v>
      </c>
      <c r="D314" s="758">
        <v>10</v>
      </c>
    </row>
    <row r="315" spans="1:4">
      <c r="A315" s="676" t="s">
        <v>1839</v>
      </c>
      <c r="B315" s="760">
        <v>39953</v>
      </c>
      <c r="C315" s="751">
        <v>1</v>
      </c>
      <c r="D315" s="758">
        <v>8</v>
      </c>
    </row>
    <row r="316" spans="1:4">
      <c r="A316" s="676" t="s">
        <v>1839</v>
      </c>
      <c r="B316" s="760">
        <v>39960</v>
      </c>
      <c r="C316" s="751">
        <v>1</v>
      </c>
      <c r="D316" s="758">
        <v>8</v>
      </c>
    </row>
    <row r="317" spans="1:4">
      <c r="A317" s="676" t="s">
        <v>1839</v>
      </c>
      <c r="B317" s="760">
        <v>39970</v>
      </c>
      <c r="C317" s="751">
        <v>1</v>
      </c>
      <c r="D317" s="758">
        <v>8</v>
      </c>
    </row>
    <row r="318" spans="1:4">
      <c r="A318" s="676" t="s">
        <v>1842</v>
      </c>
      <c r="B318" s="760">
        <v>39975</v>
      </c>
      <c r="C318" s="751">
        <v>1</v>
      </c>
      <c r="D318" s="758">
        <v>10</v>
      </c>
    </row>
    <row r="319" spans="1:4">
      <c r="A319" s="676" t="s">
        <v>1839</v>
      </c>
      <c r="B319" s="760">
        <v>39975</v>
      </c>
      <c r="C319" s="751">
        <v>1</v>
      </c>
      <c r="D319" s="758">
        <v>8</v>
      </c>
    </row>
    <row r="320" spans="1:4">
      <c r="A320" s="676" t="s">
        <v>1841</v>
      </c>
      <c r="B320" s="760">
        <v>39975</v>
      </c>
      <c r="C320" s="751">
        <v>1</v>
      </c>
      <c r="D320" s="758">
        <v>8</v>
      </c>
    </row>
    <row r="321" spans="1:4">
      <c r="A321" s="676" t="s">
        <v>1837</v>
      </c>
      <c r="B321" s="760">
        <v>39981</v>
      </c>
      <c r="C321" s="751">
        <v>1</v>
      </c>
      <c r="D321" s="758">
        <v>8</v>
      </c>
    </row>
    <row r="322" spans="1:4">
      <c r="A322" s="676" t="s">
        <v>1841</v>
      </c>
      <c r="B322" s="760">
        <v>39983</v>
      </c>
      <c r="C322" s="751">
        <v>1</v>
      </c>
      <c r="D322" s="758">
        <v>8</v>
      </c>
    </row>
    <row r="323" spans="1:4">
      <c r="A323" s="676" t="s">
        <v>1839</v>
      </c>
      <c r="B323" s="760">
        <v>39990</v>
      </c>
      <c r="C323" s="751">
        <v>1</v>
      </c>
      <c r="D323" s="758">
        <v>8</v>
      </c>
    </row>
    <row r="324" spans="1:4">
      <c r="A324" s="676" t="s">
        <v>1839</v>
      </c>
      <c r="B324" s="760">
        <v>39991</v>
      </c>
      <c r="C324" s="751">
        <v>1</v>
      </c>
      <c r="D324" s="758">
        <v>8</v>
      </c>
    </row>
    <row r="325" spans="1:4">
      <c r="A325" s="676" t="s">
        <v>1839</v>
      </c>
      <c r="B325" s="760">
        <v>40014</v>
      </c>
      <c r="C325" s="751">
        <v>1</v>
      </c>
      <c r="D325" s="758">
        <v>8</v>
      </c>
    </row>
    <row r="326" spans="1:4">
      <c r="A326" s="676" t="s">
        <v>1842</v>
      </c>
      <c r="B326" s="760">
        <v>40015</v>
      </c>
      <c r="C326" s="751">
        <v>1</v>
      </c>
      <c r="D326" s="758">
        <v>10</v>
      </c>
    </row>
    <row r="327" spans="1:4">
      <c r="A327" s="676" t="s">
        <v>1839</v>
      </c>
      <c r="B327" s="760">
        <v>40025</v>
      </c>
      <c r="C327" s="751">
        <v>1</v>
      </c>
      <c r="D327" s="758">
        <v>8</v>
      </c>
    </row>
    <row r="328" spans="1:4">
      <c r="A328" s="676" t="s">
        <v>1839</v>
      </c>
      <c r="B328" s="760">
        <v>40035</v>
      </c>
      <c r="C328" s="751">
        <v>1</v>
      </c>
      <c r="D328" s="758">
        <v>8</v>
      </c>
    </row>
    <row r="329" spans="1:4">
      <c r="A329" s="676" t="s">
        <v>1839</v>
      </c>
      <c r="B329" s="760">
        <v>40039</v>
      </c>
      <c r="C329" s="751">
        <v>1</v>
      </c>
      <c r="D329" s="758">
        <v>8</v>
      </c>
    </row>
    <row r="330" spans="1:4">
      <c r="A330" s="676" t="s">
        <v>1841</v>
      </c>
      <c r="B330" s="760">
        <v>40046</v>
      </c>
      <c r="C330" s="751">
        <v>1</v>
      </c>
      <c r="D330" s="758">
        <v>8</v>
      </c>
    </row>
    <row r="331" spans="1:4">
      <c r="A331" s="676" t="s">
        <v>1839</v>
      </c>
      <c r="B331" s="760">
        <v>40056</v>
      </c>
      <c r="C331" s="751">
        <v>1</v>
      </c>
      <c r="D331" s="758">
        <v>8</v>
      </c>
    </row>
    <row r="332" spans="1:4">
      <c r="A332" s="676" t="s">
        <v>1839</v>
      </c>
      <c r="B332" s="760">
        <v>40058</v>
      </c>
      <c r="C332" s="751">
        <v>1</v>
      </c>
      <c r="D332" s="758">
        <v>8</v>
      </c>
    </row>
    <row r="333" spans="1:4">
      <c r="A333" s="676" t="s">
        <v>1839</v>
      </c>
      <c r="B333" s="760">
        <v>40068</v>
      </c>
      <c r="C333" s="751">
        <v>1</v>
      </c>
      <c r="D333" s="758">
        <v>8</v>
      </c>
    </row>
    <row r="334" spans="1:4">
      <c r="A334" s="676" t="s">
        <v>1841</v>
      </c>
      <c r="B334" s="760">
        <v>40068</v>
      </c>
      <c r="C334" s="751">
        <v>1</v>
      </c>
      <c r="D334" s="758">
        <v>8</v>
      </c>
    </row>
    <row r="335" spans="1:4">
      <c r="A335" s="676" t="s">
        <v>1838</v>
      </c>
      <c r="B335" s="760">
        <v>40070</v>
      </c>
      <c r="C335" s="751">
        <v>1</v>
      </c>
      <c r="D335" s="758">
        <v>8</v>
      </c>
    </row>
    <row r="336" spans="1:4">
      <c r="A336" s="676" t="s">
        <v>1843</v>
      </c>
      <c r="B336" s="760">
        <v>40081</v>
      </c>
      <c r="C336" s="751">
        <v>1</v>
      </c>
      <c r="D336" s="758">
        <v>8</v>
      </c>
    </row>
    <row r="337" spans="1:4">
      <c r="A337" s="676" t="s">
        <v>1843</v>
      </c>
      <c r="B337" s="760">
        <v>40085</v>
      </c>
      <c r="C337" s="751">
        <v>1</v>
      </c>
      <c r="D337" s="758">
        <v>8</v>
      </c>
    </row>
    <row r="338" spans="1:4">
      <c r="A338" s="676" t="s">
        <v>1843</v>
      </c>
      <c r="B338" s="760">
        <v>40087</v>
      </c>
      <c r="C338" s="751">
        <v>1</v>
      </c>
      <c r="D338" s="758">
        <v>8</v>
      </c>
    </row>
    <row r="339" spans="1:4">
      <c r="A339" s="676" t="s">
        <v>1839</v>
      </c>
      <c r="B339" s="760">
        <v>40088</v>
      </c>
      <c r="C339" s="751">
        <v>1</v>
      </c>
      <c r="D339" s="758">
        <v>8</v>
      </c>
    </row>
    <row r="340" spans="1:4">
      <c r="A340" s="676" t="s">
        <v>1843</v>
      </c>
      <c r="B340" s="760">
        <v>40091</v>
      </c>
      <c r="C340" s="751">
        <v>1</v>
      </c>
      <c r="D340" s="758">
        <v>8</v>
      </c>
    </row>
    <row r="341" spans="1:4">
      <c r="A341" s="676" t="s">
        <v>1843</v>
      </c>
      <c r="B341" s="760">
        <v>40093</v>
      </c>
      <c r="C341" s="751">
        <v>1</v>
      </c>
      <c r="D341" s="758">
        <v>8</v>
      </c>
    </row>
    <row r="342" spans="1:4">
      <c r="A342" s="676" t="s">
        <v>1839</v>
      </c>
      <c r="B342" s="760">
        <v>40094</v>
      </c>
      <c r="C342" s="751">
        <v>1</v>
      </c>
      <c r="D342" s="758">
        <v>8</v>
      </c>
    </row>
    <row r="343" spans="1:4">
      <c r="A343" s="676" t="s">
        <v>1843</v>
      </c>
      <c r="B343" s="760">
        <v>40096</v>
      </c>
      <c r="C343" s="751">
        <v>1</v>
      </c>
      <c r="D343" s="758">
        <v>8</v>
      </c>
    </row>
    <row r="344" spans="1:4">
      <c r="A344" s="676" t="s">
        <v>1843</v>
      </c>
      <c r="B344" s="760">
        <v>40101</v>
      </c>
      <c r="C344" s="751">
        <v>1</v>
      </c>
      <c r="D344" s="758">
        <v>8</v>
      </c>
    </row>
    <row r="345" spans="1:4">
      <c r="A345" s="676" t="s">
        <v>1839</v>
      </c>
      <c r="B345" s="760">
        <v>40101</v>
      </c>
      <c r="C345" s="751">
        <v>1</v>
      </c>
      <c r="D345" s="758">
        <v>8</v>
      </c>
    </row>
    <row r="346" spans="1:4">
      <c r="A346" s="676" t="s">
        <v>1843</v>
      </c>
      <c r="B346" s="760">
        <v>40106</v>
      </c>
      <c r="C346" s="751">
        <v>1</v>
      </c>
      <c r="D346" s="758">
        <v>8</v>
      </c>
    </row>
    <row r="347" spans="1:4">
      <c r="A347" s="676" t="s">
        <v>1839</v>
      </c>
      <c r="B347" s="760">
        <v>40106</v>
      </c>
      <c r="C347" s="751">
        <v>1</v>
      </c>
      <c r="D347" s="758">
        <v>8</v>
      </c>
    </row>
    <row r="348" spans="1:4">
      <c r="A348" s="676" t="s">
        <v>1839</v>
      </c>
      <c r="B348" s="760">
        <v>40112</v>
      </c>
      <c r="C348" s="751">
        <v>1</v>
      </c>
      <c r="D348" s="758">
        <v>8</v>
      </c>
    </row>
    <row r="349" spans="1:4">
      <c r="A349" s="676" t="s">
        <v>1839</v>
      </c>
      <c r="B349" s="760">
        <v>40114</v>
      </c>
      <c r="C349" s="751">
        <v>1</v>
      </c>
      <c r="D349" s="758">
        <v>8</v>
      </c>
    </row>
    <row r="350" spans="1:4">
      <c r="A350" s="676" t="s">
        <v>1842</v>
      </c>
      <c r="B350" s="760">
        <v>40120</v>
      </c>
      <c r="C350" s="751">
        <v>1</v>
      </c>
      <c r="D350" s="758">
        <v>10</v>
      </c>
    </row>
    <row r="351" spans="1:4">
      <c r="A351" s="676" t="s">
        <v>1839</v>
      </c>
      <c r="B351" s="760">
        <v>40124</v>
      </c>
      <c r="C351" s="751">
        <v>1</v>
      </c>
      <c r="D351" s="758">
        <v>8</v>
      </c>
    </row>
    <row r="352" spans="1:4">
      <c r="A352" s="676" t="s">
        <v>1841</v>
      </c>
      <c r="B352" s="760">
        <v>40124</v>
      </c>
      <c r="C352" s="751">
        <v>1</v>
      </c>
      <c r="D352" s="758">
        <v>8</v>
      </c>
    </row>
    <row r="353" spans="1:4">
      <c r="A353" s="676" t="s">
        <v>1838</v>
      </c>
      <c r="B353" s="760">
        <v>40125</v>
      </c>
      <c r="C353" s="751">
        <v>1</v>
      </c>
      <c r="D353" s="758">
        <v>8</v>
      </c>
    </row>
    <row r="354" spans="1:4">
      <c r="A354" s="676" t="s">
        <v>1839</v>
      </c>
      <c r="B354" s="760">
        <v>40126</v>
      </c>
      <c r="C354" s="751">
        <v>1</v>
      </c>
      <c r="D354" s="758">
        <v>8</v>
      </c>
    </row>
    <row r="355" spans="1:4">
      <c r="A355" s="676" t="s">
        <v>1839</v>
      </c>
      <c r="B355" s="760">
        <v>40130</v>
      </c>
      <c r="C355" s="751">
        <v>1</v>
      </c>
      <c r="D355" s="758">
        <v>8</v>
      </c>
    </row>
    <row r="356" spans="1:4">
      <c r="A356" s="676" t="s">
        <v>1839</v>
      </c>
      <c r="B356" s="760">
        <v>40133</v>
      </c>
      <c r="C356" s="751">
        <v>1</v>
      </c>
      <c r="D356" s="758">
        <v>8</v>
      </c>
    </row>
    <row r="357" spans="1:4">
      <c r="A357" s="676" t="s">
        <v>1838</v>
      </c>
      <c r="B357" s="760">
        <v>40134</v>
      </c>
      <c r="C357" s="751">
        <v>1</v>
      </c>
      <c r="D357" s="758">
        <v>8</v>
      </c>
    </row>
    <row r="358" spans="1:4">
      <c r="A358" s="676" t="s">
        <v>1839</v>
      </c>
      <c r="B358" s="760">
        <v>40137</v>
      </c>
      <c r="C358" s="751">
        <v>1</v>
      </c>
      <c r="D358" s="758">
        <v>8</v>
      </c>
    </row>
    <row r="359" spans="1:4">
      <c r="A359" s="676" t="s">
        <v>1841</v>
      </c>
      <c r="B359" s="760">
        <v>40137</v>
      </c>
      <c r="C359" s="751">
        <v>1</v>
      </c>
      <c r="D359" s="758">
        <v>8</v>
      </c>
    </row>
    <row r="360" spans="1:4">
      <c r="A360" s="676" t="s">
        <v>1841</v>
      </c>
      <c r="B360" s="760">
        <v>40144</v>
      </c>
      <c r="C360" s="751">
        <v>1</v>
      </c>
      <c r="D360" s="758">
        <v>8</v>
      </c>
    </row>
    <row r="361" spans="1:4">
      <c r="A361" s="676" t="s">
        <v>1840</v>
      </c>
      <c r="B361" s="760">
        <v>40145</v>
      </c>
      <c r="C361" s="751">
        <v>1</v>
      </c>
      <c r="D361" s="758">
        <v>15</v>
      </c>
    </row>
    <row r="362" spans="1:4">
      <c r="A362" s="676" t="s">
        <v>1843</v>
      </c>
      <c r="B362" s="760">
        <v>40147</v>
      </c>
      <c r="C362" s="751">
        <v>1</v>
      </c>
      <c r="D362" s="758">
        <v>8</v>
      </c>
    </row>
    <row r="363" spans="1:4">
      <c r="A363" s="676" t="s">
        <v>1843</v>
      </c>
      <c r="B363" s="760">
        <v>40148</v>
      </c>
      <c r="C363" s="751">
        <v>1</v>
      </c>
      <c r="D363" s="758">
        <v>8</v>
      </c>
    </row>
    <row r="364" spans="1:4">
      <c r="A364" s="676" t="s">
        <v>1839</v>
      </c>
      <c r="B364" s="760">
        <v>40148</v>
      </c>
      <c r="C364" s="751">
        <v>1</v>
      </c>
      <c r="D364" s="758">
        <v>8</v>
      </c>
    </row>
    <row r="365" spans="1:4">
      <c r="A365" s="676" t="s">
        <v>1843</v>
      </c>
      <c r="B365" s="760">
        <v>40149</v>
      </c>
      <c r="C365" s="751">
        <v>1</v>
      </c>
      <c r="D365" s="758">
        <v>8</v>
      </c>
    </row>
    <row r="366" spans="1:4">
      <c r="A366" s="676" t="s">
        <v>1841</v>
      </c>
      <c r="B366" s="760">
        <v>40149</v>
      </c>
      <c r="C366" s="751">
        <v>1</v>
      </c>
      <c r="D366" s="758">
        <v>8</v>
      </c>
    </row>
    <row r="367" spans="1:4">
      <c r="A367" s="676" t="s">
        <v>1843</v>
      </c>
      <c r="B367" s="760">
        <v>40150</v>
      </c>
      <c r="C367" s="751">
        <v>1</v>
      </c>
      <c r="D367" s="758">
        <v>8</v>
      </c>
    </row>
    <row r="368" spans="1:4">
      <c r="A368" s="676" t="s">
        <v>1843</v>
      </c>
      <c r="B368" s="760">
        <v>40152</v>
      </c>
      <c r="C368" s="751">
        <v>1</v>
      </c>
      <c r="D368" s="758">
        <v>8</v>
      </c>
    </row>
    <row r="369" spans="1:4">
      <c r="A369" s="676" t="s">
        <v>1841</v>
      </c>
      <c r="B369" s="760">
        <v>40152</v>
      </c>
      <c r="C369" s="751">
        <v>1</v>
      </c>
      <c r="D369" s="758">
        <v>8</v>
      </c>
    </row>
    <row r="370" spans="1:4">
      <c r="A370" s="676" t="s">
        <v>1843</v>
      </c>
      <c r="B370" s="760">
        <v>40153</v>
      </c>
      <c r="C370" s="751">
        <v>1</v>
      </c>
      <c r="D370" s="758">
        <v>8</v>
      </c>
    </row>
    <row r="371" spans="1:4">
      <c r="A371" s="676" t="s">
        <v>1837</v>
      </c>
      <c r="B371" s="760">
        <v>40154</v>
      </c>
      <c r="C371" s="751">
        <v>1</v>
      </c>
      <c r="D371" s="758">
        <v>8</v>
      </c>
    </row>
    <row r="372" spans="1:4">
      <c r="A372" s="676" t="s">
        <v>1839</v>
      </c>
      <c r="B372" s="760">
        <v>40154</v>
      </c>
      <c r="C372" s="751">
        <v>1</v>
      </c>
      <c r="D372" s="758">
        <v>8</v>
      </c>
    </row>
    <row r="373" spans="1:4">
      <c r="A373" s="676" t="s">
        <v>1843</v>
      </c>
      <c r="B373" s="760">
        <v>40155</v>
      </c>
      <c r="C373" s="751">
        <v>1</v>
      </c>
      <c r="D373" s="758">
        <v>8</v>
      </c>
    </row>
    <row r="374" spans="1:4">
      <c r="A374" s="676" t="s">
        <v>1839</v>
      </c>
      <c r="B374" s="760">
        <v>40157</v>
      </c>
      <c r="C374" s="751">
        <v>1</v>
      </c>
      <c r="D374" s="758">
        <v>8</v>
      </c>
    </row>
    <row r="375" spans="1:4">
      <c r="A375" s="676" t="s">
        <v>1843</v>
      </c>
      <c r="B375" s="760">
        <v>40158</v>
      </c>
      <c r="C375" s="751">
        <v>1</v>
      </c>
      <c r="D375" s="758">
        <v>8</v>
      </c>
    </row>
    <row r="376" spans="1:4">
      <c r="A376" s="676" t="s">
        <v>1839</v>
      </c>
      <c r="B376" s="760">
        <v>40158</v>
      </c>
      <c r="C376" s="751">
        <v>1</v>
      </c>
      <c r="D376" s="758">
        <v>8</v>
      </c>
    </row>
    <row r="377" spans="1:4">
      <c r="A377" s="676" t="s">
        <v>1843</v>
      </c>
      <c r="B377" s="760">
        <v>40159</v>
      </c>
      <c r="C377" s="751">
        <v>1</v>
      </c>
      <c r="D377" s="758">
        <v>8</v>
      </c>
    </row>
    <row r="378" spans="1:4">
      <c r="A378" s="676" t="s">
        <v>1839</v>
      </c>
      <c r="B378" s="760">
        <v>40161</v>
      </c>
      <c r="C378" s="751">
        <v>1</v>
      </c>
      <c r="D378" s="758">
        <v>8</v>
      </c>
    </row>
    <row r="379" spans="1:4">
      <c r="A379" s="676" t="s">
        <v>1842</v>
      </c>
      <c r="B379" s="760">
        <v>40162</v>
      </c>
      <c r="C379" s="751">
        <v>1</v>
      </c>
      <c r="D379" s="758">
        <v>10</v>
      </c>
    </row>
    <row r="380" spans="1:4">
      <c r="A380" s="676" t="s">
        <v>1838</v>
      </c>
      <c r="B380" s="760">
        <v>40163</v>
      </c>
      <c r="C380" s="751">
        <v>1</v>
      </c>
      <c r="D380" s="758">
        <v>8</v>
      </c>
    </row>
    <row r="381" spans="1:4">
      <c r="A381" s="676" t="s">
        <v>1842</v>
      </c>
      <c r="B381" s="760">
        <v>40165</v>
      </c>
      <c r="C381" s="751">
        <v>1</v>
      </c>
      <c r="D381" s="758">
        <v>10</v>
      </c>
    </row>
    <row r="382" spans="1:4">
      <c r="A382" s="676" t="s">
        <v>1841</v>
      </c>
      <c r="B382" s="760">
        <v>40168</v>
      </c>
      <c r="C382" s="751">
        <v>1</v>
      </c>
      <c r="D382" s="758">
        <v>8</v>
      </c>
    </row>
    <row r="383" spans="1:4">
      <c r="A383" s="676" t="s">
        <v>1842</v>
      </c>
      <c r="B383" s="760">
        <v>40170</v>
      </c>
      <c r="C383" s="751">
        <v>1</v>
      </c>
      <c r="D383" s="758">
        <v>10</v>
      </c>
    </row>
    <row r="384" spans="1:4">
      <c r="A384" s="676" t="s">
        <v>1841</v>
      </c>
      <c r="B384" s="760">
        <v>40170</v>
      </c>
      <c r="C384" s="751">
        <v>1</v>
      </c>
      <c r="D384" s="758">
        <v>8</v>
      </c>
    </row>
    <row r="385" spans="1:4">
      <c r="A385" s="676" t="s">
        <v>1839</v>
      </c>
      <c r="B385" s="760">
        <v>40172</v>
      </c>
      <c r="C385" s="751">
        <v>1</v>
      </c>
      <c r="D385" s="758">
        <v>8</v>
      </c>
    </row>
    <row r="386" spans="1:4">
      <c r="A386" s="676" t="s">
        <v>1838</v>
      </c>
      <c r="B386" s="760">
        <v>40176</v>
      </c>
      <c r="C386" s="751">
        <v>1</v>
      </c>
      <c r="D386" s="758">
        <v>8</v>
      </c>
    </row>
    <row r="387" spans="1:4">
      <c r="A387" s="676" t="s">
        <v>1839</v>
      </c>
      <c r="B387" s="760">
        <v>40177</v>
      </c>
      <c r="C387" s="751">
        <v>1</v>
      </c>
      <c r="D387" s="758">
        <v>8</v>
      </c>
    </row>
    <row r="388" spans="1:4">
      <c r="A388" s="676" t="s">
        <v>1843</v>
      </c>
      <c r="B388" s="760">
        <v>40178</v>
      </c>
      <c r="C388" s="751">
        <v>1</v>
      </c>
      <c r="D388" s="758">
        <v>8</v>
      </c>
    </row>
    <row r="389" spans="1:4">
      <c r="A389" s="676" t="s">
        <v>1843</v>
      </c>
      <c r="B389" s="760">
        <v>40184</v>
      </c>
      <c r="C389" s="751">
        <v>1</v>
      </c>
      <c r="D389" s="758">
        <v>8</v>
      </c>
    </row>
    <row r="390" spans="1:4">
      <c r="A390" s="676" t="s">
        <v>1841</v>
      </c>
      <c r="B390" s="760">
        <v>40184</v>
      </c>
      <c r="C390" s="751">
        <v>1</v>
      </c>
      <c r="D390" s="758">
        <v>8</v>
      </c>
    </row>
    <row r="391" spans="1:4">
      <c r="A391" s="676" t="s">
        <v>1843</v>
      </c>
      <c r="B391" s="760">
        <v>40185</v>
      </c>
      <c r="C391" s="751">
        <v>1</v>
      </c>
      <c r="D391" s="758">
        <v>8</v>
      </c>
    </row>
    <row r="392" spans="1:4">
      <c r="A392" s="676" t="s">
        <v>1837</v>
      </c>
      <c r="B392" s="760">
        <v>40186</v>
      </c>
      <c r="C392" s="751">
        <v>1</v>
      </c>
      <c r="D392" s="758">
        <v>8</v>
      </c>
    </row>
    <row r="393" spans="1:4">
      <c r="A393" s="676" t="s">
        <v>1843</v>
      </c>
      <c r="B393" s="760">
        <v>40189</v>
      </c>
      <c r="C393" s="751">
        <v>1</v>
      </c>
      <c r="D393" s="758">
        <v>8</v>
      </c>
    </row>
    <row r="394" spans="1:4">
      <c r="A394" s="676" t="s">
        <v>1839</v>
      </c>
      <c r="B394" s="760">
        <v>40192</v>
      </c>
      <c r="C394" s="751">
        <v>1</v>
      </c>
      <c r="D394" s="758">
        <v>8</v>
      </c>
    </row>
    <row r="395" spans="1:4">
      <c r="A395" s="676" t="s">
        <v>1841</v>
      </c>
      <c r="B395" s="760">
        <v>40196</v>
      </c>
      <c r="C395" s="751">
        <v>1</v>
      </c>
      <c r="D395" s="758">
        <v>8</v>
      </c>
    </row>
    <row r="396" spans="1:4">
      <c r="A396" s="676" t="s">
        <v>1843</v>
      </c>
      <c r="B396" s="760">
        <v>40199</v>
      </c>
      <c r="C396" s="751">
        <v>1</v>
      </c>
      <c r="D396" s="758">
        <v>8</v>
      </c>
    </row>
    <row r="397" spans="1:4">
      <c r="A397" s="676" t="s">
        <v>1838</v>
      </c>
      <c r="B397" s="760">
        <v>40199</v>
      </c>
      <c r="C397" s="751">
        <v>1</v>
      </c>
      <c r="D397" s="758">
        <v>8</v>
      </c>
    </row>
    <row r="398" spans="1:4">
      <c r="A398" s="676" t="s">
        <v>1839</v>
      </c>
      <c r="B398" s="760">
        <v>40201</v>
      </c>
      <c r="C398" s="751">
        <v>1</v>
      </c>
      <c r="D398" s="758">
        <v>8</v>
      </c>
    </row>
    <row r="399" spans="1:4">
      <c r="A399" s="676" t="s">
        <v>1843</v>
      </c>
      <c r="B399" s="760">
        <v>40203</v>
      </c>
      <c r="C399" s="751">
        <v>1</v>
      </c>
      <c r="D399" s="758">
        <v>8</v>
      </c>
    </row>
    <row r="400" spans="1:4">
      <c r="A400" s="676" t="s">
        <v>1841</v>
      </c>
      <c r="B400" s="760">
        <v>40205</v>
      </c>
      <c r="C400" s="751">
        <v>1</v>
      </c>
      <c r="D400" s="758">
        <v>8</v>
      </c>
    </row>
    <row r="401" spans="1:4">
      <c r="A401" s="676" t="s">
        <v>1843</v>
      </c>
      <c r="B401" s="760">
        <v>40206</v>
      </c>
      <c r="C401" s="751">
        <v>1</v>
      </c>
      <c r="D401" s="758">
        <v>8</v>
      </c>
    </row>
    <row r="402" spans="1:4">
      <c r="A402" s="676" t="s">
        <v>1843</v>
      </c>
      <c r="B402" s="760">
        <v>40207</v>
      </c>
      <c r="C402" s="751">
        <v>1</v>
      </c>
      <c r="D402" s="758">
        <v>8</v>
      </c>
    </row>
    <row r="403" spans="1:4">
      <c r="A403" s="676" t="s">
        <v>1843</v>
      </c>
      <c r="B403" s="760">
        <v>40208</v>
      </c>
      <c r="C403" s="751">
        <v>1</v>
      </c>
      <c r="D403" s="758">
        <v>8</v>
      </c>
    </row>
    <row r="404" spans="1:4">
      <c r="A404" s="676" t="s">
        <v>1843</v>
      </c>
      <c r="B404" s="760">
        <v>40210</v>
      </c>
      <c r="C404" s="751">
        <v>1</v>
      </c>
      <c r="D404" s="758">
        <v>8</v>
      </c>
    </row>
    <row r="405" spans="1:4">
      <c r="A405" s="676" t="s">
        <v>1843</v>
      </c>
      <c r="B405" s="760">
        <v>40211</v>
      </c>
      <c r="C405" s="751">
        <v>1</v>
      </c>
      <c r="D405" s="758">
        <v>8</v>
      </c>
    </row>
    <row r="406" spans="1:4">
      <c r="A406" s="676" t="s">
        <v>1839</v>
      </c>
      <c r="B406" s="760">
        <v>40211</v>
      </c>
      <c r="C406" s="751">
        <v>1</v>
      </c>
      <c r="D406" s="758">
        <v>8</v>
      </c>
    </row>
    <row r="407" spans="1:4">
      <c r="A407" s="676" t="s">
        <v>1843</v>
      </c>
      <c r="B407" s="760">
        <v>40217</v>
      </c>
      <c r="C407" s="751">
        <v>1</v>
      </c>
      <c r="D407" s="758">
        <v>8</v>
      </c>
    </row>
    <row r="408" spans="1:4">
      <c r="A408" s="676" t="s">
        <v>1841</v>
      </c>
      <c r="B408" s="760">
        <v>40226</v>
      </c>
      <c r="C408" s="751">
        <v>1</v>
      </c>
      <c r="D408" s="758">
        <v>8</v>
      </c>
    </row>
    <row r="409" spans="1:4">
      <c r="A409" s="676" t="s">
        <v>1837</v>
      </c>
      <c r="B409" s="760">
        <v>40228</v>
      </c>
      <c r="C409" s="751">
        <v>1</v>
      </c>
      <c r="D409" s="758">
        <v>8</v>
      </c>
    </row>
    <row r="410" spans="1:4">
      <c r="A410" s="676" t="s">
        <v>1842</v>
      </c>
      <c r="B410" s="760">
        <v>40241</v>
      </c>
      <c r="C410" s="751">
        <v>1</v>
      </c>
      <c r="D410" s="758">
        <v>10</v>
      </c>
    </row>
    <row r="411" spans="1:4">
      <c r="A411" s="676" t="s">
        <v>1842</v>
      </c>
      <c r="B411" s="760">
        <v>40243</v>
      </c>
      <c r="C411" s="751">
        <v>1</v>
      </c>
      <c r="D411" s="758">
        <v>10</v>
      </c>
    </row>
    <row r="412" spans="1:4">
      <c r="A412" s="676" t="s">
        <v>1839</v>
      </c>
      <c r="B412" s="760">
        <v>40243</v>
      </c>
      <c r="C412" s="751">
        <v>1</v>
      </c>
      <c r="D412" s="758">
        <v>8</v>
      </c>
    </row>
    <row r="413" spans="1:4">
      <c r="A413" s="676" t="s">
        <v>1842</v>
      </c>
      <c r="B413" s="760">
        <v>40245</v>
      </c>
      <c r="C413" s="751">
        <v>1</v>
      </c>
      <c r="D413" s="758">
        <v>10</v>
      </c>
    </row>
    <row r="414" spans="1:4">
      <c r="A414" s="676" t="s">
        <v>1839</v>
      </c>
      <c r="B414" s="760">
        <v>40245</v>
      </c>
      <c r="C414" s="751">
        <v>1</v>
      </c>
      <c r="D414" s="758">
        <v>8</v>
      </c>
    </row>
    <row r="415" spans="1:4">
      <c r="A415" s="676" t="s">
        <v>1839</v>
      </c>
      <c r="B415" s="760">
        <v>40248</v>
      </c>
      <c r="C415" s="751">
        <v>1</v>
      </c>
      <c r="D415" s="758">
        <v>8</v>
      </c>
    </row>
    <row r="416" spans="1:4">
      <c r="A416" s="676" t="s">
        <v>1839</v>
      </c>
      <c r="B416" s="760">
        <v>40250</v>
      </c>
      <c r="C416" s="751">
        <v>1</v>
      </c>
      <c r="D416" s="758">
        <v>8</v>
      </c>
    </row>
    <row r="417" spans="1:4">
      <c r="A417" s="676" t="s">
        <v>1839</v>
      </c>
      <c r="B417" s="760">
        <v>40268</v>
      </c>
      <c r="C417" s="751">
        <v>1</v>
      </c>
      <c r="D417" s="758">
        <v>8</v>
      </c>
    </row>
    <row r="418" spans="1:4">
      <c r="A418" s="676" t="s">
        <v>1837</v>
      </c>
      <c r="B418" s="760">
        <v>40285</v>
      </c>
      <c r="C418" s="751">
        <v>1</v>
      </c>
      <c r="D418" s="758">
        <v>8</v>
      </c>
    </row>
    <row r="419" spans="1:4">
      <c r="A419" s="676" t="s">
        <v>1843</v>
      </c>
      <c r="B419" s="760">
        <v>40303</v>
      </c>
      <c r="C419" s="751">
        <v>1</v>
      </c>
      <c r="D419" s="758">
        <v>8</v>
      </c>
    </row>
    <row r="420" spans="1:4">
      <c r="A420" s="676" t="s">
        <v>1842</v>
      </c>
      <c r="B420" s="760">
        <v>40319</v>
      </c>
      <c r="C420" s="751">
        <v>1</v>
      </c>
      <c r="D420" s="758">
        <v>10</v>
      </c>
    </row>
    <row r="421" spans="1:4">
      <c r="A421" s="676" t="s">
        <v>1843</v>
      </c>
      <c r="B421" s="760">
        <v>40327</v>
      </c>
      <c r="C421" s="751">
        <v>1</v>
      </c>
      <c r="D421" s="758">
        <v>8</v>
      </c>
    </row>
    <row r="422" spans="1:4">
      <c r="A422" s="676" t="s">
        <v>1843</v>
      </c>
      <c r="B422" s="760">
        <v>40329</v>
      </c>
      <c r="C422" s="751">
        <v>1</v>
      </c>
      <c r="D422" s="758">
        <v>8</v>
      </c>
    </row>
    <row r="423" spans="1:4">
      <c r="A423" s="676" t="s">
        <v>1840</v>
      </c>
      <c r="B423" s="760">
        <v>40330</v>
      </c>
      <c r="C423" s="751">
        <v>1</v>
      </c>
      <c r="D423" s="758">
        <v>15</v>
      </c>
    </row>
    <row r="424" spans="1:4">
      <c r="A424" s="676" t="s">
        <v>1842</v>
      </c>
      <c r="B424" s="760">
        <v>40339</v>
      </c>
      <c r="C424" s="751">
        <v>1</v>
      </c>
      <c r="D424" s="758">
        <v>10</v>
      </c>
    </row>
    <row r="425" spans="1:4">
      <c r="A425" s="676" t="s">
        <v>1842</v>
      </c>
      <c r="B425" s="760">
        <v>40347</v>
      </c>
      <c r="C425" s="751">
        <v>1</v>
      </c>
      <c r="D425" s="758">
        <v>10</v>
      </c>
    </row>
    <row r="426" spans="1:4">
      <c r="A426" s="676" t="s">
        <v>1842</v>
      </c>
      <c r="B426" s="760">
        <v>40349</v>
      </c>
      <c r="C426" s="751">
        <v>1</v>
      </c>
      <c r="D426" s="758">
        <v>10</v>
      </c>
    </row>
    <row r="427" spans="1:4">
      <c r="A427" s="676" t="s">
        <v>1844</v>
      </c>
      <c r="B427" s="760">
        <v>40350</v>
      </c>
      <c r="C427" s="751">
        <v>1</v>
      </c>
      <c r="D427" s="758">
        <v>15</v>
      </c>
    </row>
    <row r="428" spans="1:4">
      <c r="A428" s="676" t="s">
        <v>1842</v>
      </c>
      <c r="B428" s="760">
        <v>40358</v>
      </c>
      <c r="C428" s="751">
        <v>1</v>
      </c>
      <c r="D428" s="758">
        <v>10</v>
      </c>
    </row>
    <row r="429" spans="1:4">
      <c r="A429" s="676" t="s">
        <v>1837</v>
      </c>
      <c r="B429" s="760">
        <v>40359</v>
      </c>
      <c r="C429" s="751">
        <v>1</v>
      </c>
      <c r="D429" s="758">
        <v>8</v>
      </c>
    </row>
    <row r="430" spans="1:4">
      <c r="A430" s="676" t="s">
        <v>1842</v>
      </c>
      <c r="B430" s="760">
        <v>40362</v>
      </c>
      <c r="C430" s="751">
        <v>1</v>
      </c>
      <c r="D430" s="758">
        <v>10</v>
      </c>
    </row>
    <row r="431" spans="1:4">
      <c r="A431" s="676" t="s">
        <v>1842</v>
      </c>
      <c r="B431" s="760">
        <v>40376</v>
      </c>
      <c r="C431" s="751">
        <v>1</v>
      </c>
      <c r="D431" s="758">
        <v>10</v>
      </c>
    </row>
    <row r="432" spans="1:4">
      <c r="A432" s="676" t="s">
        <v>1840</v>
      </c>
      <c r="B432" s="760">
        <v>40405</v>
      </c>
      <c r="C432" s="751">
        <v>1</v>
      </c>
      <c r="D432" s="758">
        <v>15</v>
      </c>
    </row>
    <row r="433" spans="1:4">
      <c r="A433" s="676" t="s">
        <v>1842</v>
      </c>
      <c r="B433" s="760">
        <v>40425</v>
      </c>
      <c r="C433" s="751">
        <v>1</v>
      </c>
      <c r="D433" s="758">
        <v>10</v>
      </c>
    </row>
    <row r="434" spans="1:4">
      <c r="A434" s="676" t="s">
        <v>1842</v>
      </c>
      <c r="B434" s="760">
        <v>40468</v>
      </c>
      <c r="C434" s="751">
        <v>1</v>
      </c>
      <c r="D434" s="758">
        <v>10</v>
      </c>
    </row>
    <row r="435" spans="1:4">
      <c r="A435" s="676" t="s">
        <v>1842</v>
      </c>
      <c r="B435" s="760">
        <v>40471</v>
      </c>
      <c r="C435" s="751">
        <v>1</v>
      </c>
      <c r="D435" s="758">
        <v>10</v>
      </c>
    </row>
    <row r="436" spans="1:4">
      <c r="A436" s="676" t="s">
        <v>1842</v>
      </c>
      <c r="B436" s="760">
        <v>40474</v>
      </c>
      <c r="C436" s="751">
        <v>1</v>
      </c>
      <c r="D436" s="758">
        <v>10</v>
      </c>
    </row>
    <row r="437" spans="1:4">
      <c r="A437" s="676" t="s">
        <v>1842</v>
      </c>
      <c r="B437" s="760">
        <v>40501</v>
      </c>
      <c r="C437" s="751">
        <v>1</v>
      </c>
      <c r="D437" s="758">
        <v>10</v>
      </c>
    </row>
    <row r="438" spans="1:4">
      <c r="A438" s="676" t="s">
        <v>1837</v>
      </c>
      <c r="B438" s="760">
        <v>40502</v>
      </c>
      <c r="C438" s="751">
        <v>1</v>
      </c>
      <c r="D438" s="758">
        <v>8</v>
      </c>
    </row>
    <row r="439" spans="1:4">
      <c r="A439" s="676" t="s">
        <v>1841</v>
      </c>
      <c r="B439" s="760">
        <v>40507</v>
      </c>
      <c r="C439" s="751">
        <v>1</v>
      </c>
      <c r="D439" s="758">
        <v>8</v>
      </c>
    </row>
    <row r="440" spans="1:4">
      <c r="A440" s="676" t="s">
        <v>1841</v>
      </c>
      <c r="B440" s="760">
        <v>40526</v>
      </c>
      <c r="C440" s="751">
        <v>1</v>
      </c>
      <c r="D440" s="758">
        <v>8</v>
      </c>
    </row>
    <row r="441" spans="1:4">
      <c r="A441" s="676" t="s">
        <v>1843</v>
      </c>
      <c r="B441" s="760">
        <v>40533</v>
      </c>
      <c r="C441" s="751">
        <v>1</v>
      </c>
      <c r="D441" s="758">
        <v>8</v>
      </c>
    </row>
    <row r="442" spans="1:4">
      <c r="A442" s="676" t="s">
        <v>1838</v>
      </c>
      <c r="B442" s="760">
        <v>40533</v>
      </c>
      <c r="C442" s="751">
        <v>1</v>
      </c>
      <c r="D442" s="758">
        <v>8</v>
      </c>
    </row>
    <row r="443" spans="1:4">
      <c r="A443" s="676" t="s">
        <v>1842</v>
      </c>
      <c r="B443" s="760">
        <v>40533</v>
      </c>
      <c r="C443" s="751">
        <v>1</v>
      </c>
      <c r="D443" s="758">
        <v>10</v>
      </c>
    </row>
    <row r="444" spans="1:4">
      <c r="A444" s="676" t="s">
        <v>1841</v>
      </c>
      <c r="B444" s="760">
        <v>40533</v>
      </c>
      <c r="C444" s="751">
        <v>1</v>
      </c>
      <c r="D444" s="758">
        <v>8</v>
      </c>
    </row>
    <row r="445" spans="1:4">
      <c r="A445" s="676" t="s">
        <v>1843</v>
      </c>
      <c r="B445" s="760">
        <v>40537</v>
      </c>
      <c r="C445" s="751">
        <v>1</v>
      </c>
      <c r="D445" s="758">
        <v>8</v>
      </c>
    </row>
    <row r="446" spans="1:4">
      <c r="A446" s="676" t="s">
        <v>1842</v>
      </c>
      <c r="B446" s="760">
        <v>40539</v>
      </c>
      <c r="C446" s="751">
        <v>1</v>
      </c>
      <c r="D446" s="758">
        <v>10</v>
      </c>
    </row>
    <row r="447" spans="1:4">
      <c r="A447" s="676" t="s">
        <v>1843</v>
      </c>
      <c r="B447" s="760">
        <v>40540</v>
      </c>
      <c r="C447" s="751">
        <v>1</v>
      </c>
      <c r="D447" s="758">
        <v>8</v>
      </c>
    </row>
    <row r="448" spans="1:4">
      <c r="A448" s="676" t="s">
        <v>1842</v>
      </c>
      <c r="B448" s="760">
        <v>40548</v>
      </c>
      <c r="C448" s="751">
        <v>1</v>
      </c>
      <c r="D448" s="758">
        <v>10</v>
      </c>
    </row>
    <row r="449" spans="1:4">
      <c r="A449" s="676" t="s">
        <v>1842</v>
      </c>
      <c r="B449" s="760">
        <v>40577</v>
      </c>
      <c r="C449" s="751">
        <v>1</v>
      </c>
      <c r="D449" s="758">
        <v>10</v>
      </c>
    </row>
    <row r="450" spans="1:4">
      <c r="A450" s="676" t="s">
        <v>1840</v>
      </c>
      <c r="B450" s="760">
        <v>40586</v>
      </c>
      <c r="C450" s="751">
        <v>1</v>
      </c>
      <c r="D450" s="758">
        <v>15</v>
      </c>
    </row>
    <row r="451" spans="1:4">
      <c r="A451" s="676" t="s">
        <v>1842</v>
      </c>
      <c r="B451" s="760">
        <v>40598</v>
      </c>
      <c r="C451" s="751">
        <v>1</v>
      </c>
      <c r="D451" s="758">
        <v>10</v>
      </c>
    </row>
    <row r="452" spans="1:4">
      <c r="A452" s="676" t="s">
        <v>1840</v>
      </c>
      <c r="B452" s="760">
        <v>40605</v>
      </c>
      <c r="C452" s="751">
        <v>1</v>
      </c>
      <c r="D452" s="758">
        <v>15</v>
      </c>
    </row>
    <row r="453" spans="1:4">
      <c r="A453" s="676" t="s">
        <v>1842</v>
      </c>
      <c r="B453" s="760">
        <v>40623</v>
      </c>
      <c r="C453" s="751">
        <v>1</v>
      </c>
      <c r="D453" s="758">
        <v>10</v>
      </c>
    </row>
    <row r="454" spans="1:4">
      <c r="A454" s="676" t="s">
        <v>1842</v>
      </c>
      <c r="B454" s="760">
        <v>40627</v>
      </c>
      <c r="C454" s="751">
        <v>1</v>
      </c>
      <c r="D454" s="758">
        <v>10</v>
      </c>
    </row>
    <row r="455" spans="1:4">
      <c r="A455" s="676" t="s">
        <v>1843</v>
      </c>
      <c r="B455" s="760">
        <v>40633</v>
      </c>
      <c r="C455" s="751">
        <v>1</v>
      </c>
      <c r="D455" s="758">
        <v>8</v>
      </c>
    </row>
    <row r="456" spans="1:4">
      <c r="A456" s="676" t="s">
        <v>1840</v>
      </c>
      <c r="B456" s="760">
        <v>40633</v>
      </c>
      <c r="C456" s="751">
        <v>1</v>
      </c>
      <c r="D456" s="758">
        <v>15</v>
      </c>
    </row>
    <row r="457" spans="1:4">
      <c r="A457" s="676" t="s">
        <v>1840</v>
      </c>
      <c r="B457" s="760">
        <v>40648</v>
      </c>
      <c r="C457" s="751">
        <v>1</v>
      </c>
      <c r="D457" s="758">
        <v>15</v>
      </c>
    </row>
    <row r="458" spans="1:4">
      <c r="A458" s="676" t="s">
        <v>1840</v>
      </c>
      <c r="B458" s="760">
        <v>40670</v>
      </c>
      <c r="C458" s="751">
        <v>1</v>
      </c>
      <c r="D458" s="758">
        <v>15</v>
      </c>
    </row>
    <row r="459" spans="1:4">
      <c r="A459" s="676" t="s">
        <v>1838</v>
      </c>
      <c r="B459" s="760">
        <v>40700</v>
      </c>
      <c r="C459" s="751">
        <v>1</v>
      </c>
      <c r="D459" s="758">
        <v>8</v>
      </c>
    </row>
    <row r="460" spans="1:4">
      <c r="A460" s="676" t="s">
        <v>1842</v>
      </c>
      <c r="B460" s="760">
        <v>40700</v>
      </c>
      <c r="C460" s="751">
        <v>1</v>
      </c>
      <c r="D460" s="758">
        <v>10</v>
      </c>
    </row>
    <row r="461" spans="1:4">
      <c r="A461" s="676" t="s">
        <v>1840</v>
      </c>
      <c r="B461" s="760">
        <v>40709</v>
      </c>
      <c r="C461" s="751">
        <v>1</v>
      </c>
      <c r="D461" s="758">
        <v>15</v>
      </c>
    </row>
    <row r="462" spans="1:4">
      <c r="A462" s="676" t="s">
        <v>1843</v>
      </c>
      <c r="B462" s="760">
        <v>40725</v>
      </c>
      <c r="C462" s="751">
        <v>1</v>
      </c>
      <c r="D462" s="758">
        <v>8</v>
      </c>
    </row>
    <row r="463" spans="1:4">
      <c r="A463" s="676" t="s">
        <v>1840</v>
      </c>
      <c r="B463" s="760">
        <v>40732</v>
      </c>
      <c r="C463" s="751">
        <v>1</v>
      </c>
      <c r="D463" s="758">
        <v>15</v>
      </c>
    </row>
    <row r="464" spans="1:4">
      <c r="A464" s="676" t="s">
        <v>1840</v>
      </c>
      <c r="B464" s="760">
        <v>40743</v>
      </c>
      <c r="C464" s="751">
        <v>1</v>
      </c>
      <c r="D464" s="758">
        <v>15</v>
      </c>
    </row>
    <row r="465" spans="1:4">
      <c r="A465" s="676" t="s">
        <v>1845</v>
      </c>
      <c r="B465" s="760">
        <v>40754</v>
      </c>
      <c r="C465" s="751">
        <v>1</v>
      </c>
      <c r="D465" s="758">
        <v>12</v>
      </c>
    </row>
    <row r="466" spans="1:4">
      <c r="A466" s="676" t="s">
        <v>1838</v>
      </c>
      <c r="B466" s="760">
        <v>40754</v>
      </c>
      <c r="C466" s="751">
        <v>1</v>
      </c>
      <c r="D466" s="758">
        <v>8</v>
      </c>
    </row>
    <row r="467" spans="1:4">
      <c r="A467" s="676" t="s">
        <v>1843</v>
      </c>
      <c r="B467" s="760">
        <v>40785</v>
      </c>
      <c r="C467" s="751">
        <v>1</v>
      </c>
      <c r="D467" s="758">
        <v>8</v>
      </c>
    </row>
    <row r="468" spans="1:4">
      <c r="A468" s="676" t="s">
        <v>1840</v>
      </c>
      <c r="B468" s="760">
        <v>40801</v>
      </c>
      <c r="C468" s="751">
        <v>1</v>
      </c>
      <c r="D468" s="758">
        <v>15</v>
      </c>
    </row>
    <row r="469" spans="1:4">
      <c r="A469" s="676" t="s">
        <v>1840</v>
      </c>
      <c r="B469" s="760">
        <v>40806</v>
      </c>
      <c r="C469" s="751">
        <v>1</v>
      </c>
      <c r="D469" s="758">
        <v>15</v>
      </c>
    </row>
    <row r="470" spans="1:4">
      <c r="A470" s="676" t="s">
        <v>1838</v>
      </c>
      <c r="B470" s="760">
        <v>40807</v>
      </c>
      <c r="C470" s="751">
        <v>1</v>
      </c>
      <c r="D470" s="758">
        <v>8</v>
      </c>
    </row>
    <row r="471" spans="1:4">
      <c r="A471" s="676" t="s">
        <v>1843</v>
      </c>
      <c r="B471" s="760">
        <v>40810</v>
      </c>
      <c r="C471" s="751">
        <v>1</v>
      </c>
      <c r="D471" s="758">
        <v>8</v>
      </c>
    </row>
    <row r="472" spans="1:4">
      <c r="A472" s="676" t="s">
        <v>1843</v>
      </c>
      <c r="B472" s="760">
        <v>40813</v>
      </c>
      <c r="C472" s="751">
        <v>1</v>
      </c>
      <c r="D472" s="758">
        <v>8</v>
      </c>
    </row>
    <row r="473" spans="1:4">
      <c r="A473" s="676" t="s">
        <v>1838</v>
      </c>
      <c r="B473" s="760">
        <v>40814</v>
      </c>
      <c r="C473" s="751">
        <v>1</v>
      </c>
      <c r="D473" s="758">
        <v>8</v>
      </c>
    </row>
    <row r="474" spans="1:4">
      <c r="A474" s="676" t="s">
        <v>1843</v>
      </c>
      <c r="B474" s="760">
        <v>40816</v>
      </c>
      <c r="C474" s="751">
        <v>1</v>
      </c>
      <c r="D474" s="758">
        <v>8</v>
      </c>
    </row>
    <row r="475" spans="1:4">
      <c r="A475" s="676" t="s">
        <v>1838</v>
      </c>
      <c r="B475" s="760">
        <v>40816</v>
      </c>
      <c r="C475" s="751">
        <v>1</v>
      </c>
      <c r="D475" s="758">
        <v>8</v>
      </c>
    </row>
    <row r="476" spans="1:4">
      <c r="A476" s="676" t="s">
        <v>1840</v>
      </c>
      <c r="B476" s="760">
        <v>40816</v>
      </c>
      <c r="C476" s="751">
        <v>1</v>
      </c>
      <c r="D476" s="758">
        <v>15</v>
      </c>
    </row>
    <row r="477" spans="1:4">
      <c r="A477" s="676" t="s">
        <v>1838</v>
      </c>
      <c r="B477" s="760">
        <v>40819</v>
      </c>
      <c r="C477" s="751">
        <v>1</v>
      </c>
      <c r="D477" s="758">
        <v>8</v>
      </c>
    </row>
    <row r="478" spans="1:4">
      <c r="A478" s="676" t="s">
        <v>1843</v>
      </c>
      <c r="B478" s="760">
        <v>40821</v>
      </c>
      <c r="C478" s="751">
        <v>1</v>
      </c>
      <c r="D478" s="758">
        <v>8</v>
      </c>
    </row>
    <row r="479" spans="1:4">
      <c r="A479" s="676" t="s">
        <v>1846</v>
      </c>
      <c r="B479" s="760">
        <v>40821</v>
      </c>
      <c r="C479" s="751">
        <v>1</v>
      </c>
      <c r="D479" s="758">
        <v>8</v>
      </c>
    </row>
    <row r="480" spans="1:4">
      <c r="A480" s="676" t="s">
        <v>1843</v>
      </c>
      <c r="B480" s="760">
        <v>40827</v>
      </c>
      <c r="C480" s="751">
        <v>1</v>
      </c>
      <c r="D480" s="758">
        <v>8</v>
      </c>
    </row>
    <row r="481" spans="1:4">
      <c r="A481" s="676" t="s">
        <v>1843</v>
      </c>
      <c r="B481" s="760">
        <v>40828</v>
      </c>
      <c r="C481" s="751">
        <v>1</v>
      </c>
      <c r="D481" s="758">
        <v>8</v>
      </c>
    </row>
    <row r="482" spans="1:4">
      <c r="A482" s="676" t="s">
        <v>1840</v>
      </c>
      <c r="B482" s="760">
        <v>40828</v>
      </c>
      <c r="C482" s="751">
        <v>1</v>
      </c>
      <c r="D482" s="758">
        <v>15</v>
      </c>
    </row>
    <row r="483" spans="1:4">
      <c r="A483" s="676" t="s">
        <v>1843</v>
      </c>
      <c r="B483" s="760">
        <v>40831</v>
      </c>
      <c r="C483" s="751">
        <v>1</v>
      </c>
      <c r="D483" s="758">
        <v>8</v>
      </c>
    </row>
    <row r="484" spans="1:4">
      <c r="A484" s="676" t="s">
        <v>1840</v>
      </c>
      <c r="B484" s="760">
        <v>40831</v>
      </c>
      <c r="C484" s="751">
        <v>1</v>
      </c>
      <c r="D484" s="758">
        <v>15</v>
      </c>
    </row>
    <row r="485" spans="1:4">
      <c r="A485" s="676" t="s">
        <v>1843</v>
      </c>
      <c r="B485" s="760">
        <v>40843</v>
      </c>
      <c r="C485" s="751">
        <v>1</v>
      </c>
      <c r="D485" s="758">
        <v>8</v>
      </c>
    </row>
    <row r="486" spans="1:4">
      <c r="A486" s="676" t="s">
        <v>1840</v>
      </c>
      <c r="B486" s="760">
        <v>40850</v>
      </c>
      <c r="C486" s="751">
        <v>1</v>
      </c>
      <c r="D486" s="758">
        <v>15</v>
      </c>
    </row>
    <row r="487" spans="1:4">
      <c r="A487" s="676" t="s">
        <v>1843</v>
      </c>
      <c r="B487" s="760">
        <v>40852</v>
      </c>
      <c r="C487" s="751">
        <v>1</v>
      </c>
      <c r="D487" s="758">
        <v>8</v>
      </c>
    </row>
    <row r="488" spans="1:4">
      <c r="A488" s="676" t="s">
        <v>1843</v>
      </c>
      <c r="B488" s="760">
        <v>40859</v>
      </c>
      <c r="C488" s="751">
        <v>1</v>
      </c>
      <c r="D488" s="758">
        <v>8</v>
      </c>
    </row>
    <row r="489" spans="1:4">
      <c r="A489" s="676" t="s">
        <v>1838</v>
      </c>
      <c r="B489" s="760">
        <v>40865</v>
      </c>
      <c r="C489" s="751">
        <v>1</v>
      </c>
      <c r="D489" s="758">
        <v>8</v>
      </c>
    </row>
    <row r="490" spans="1:4">
      <c r="A490" s="676" t="s">
        <v>1846</v>
      </c>
      <c r="B490" s="760">
        <v>40868</v>
      </c>
      <c r="C490" s="751">
        <v>1</v>
      </c>
      <c r="D490" s="758">
        <v>8</v>
      </c>
    </row>
    <row r="491" spans="1:4">
      <c r="A491" s="676" t="s">
        <v>1843</v>
      </c>
      <c r="B491" s="760">
        <v>40871</v>
      </c>
      <c r="C491" s="751">
        <v>1</v>
      </c>
      <c r="D491" s="758">
        <v>8</v>
      </c>
    </row>
    <row r="492" spans="1:4">
      <c r="A492" s="676" t="s">
        <v>1843</v>
      </c>
      <c r="B492" s="760">
        <v>40872</v>
      </c>
      <c r="C492" s="751">
        <v>1</v>
      </c>
      <c r="D492" s="758">
        <v>8</v>
      </c>
    </row>
    <row r="493" spans="1:4">
      <c r="A493" s="676" t="s">
        <v>1841</v>
      </c>
      <c r="B493" s="760">
        <v>40873</v>
      </c>
      <c r="C493" s="751">
        <v>1</v>
      </c>
      <c r="D493" s="758">
        <v>8</v>
      </c>
    </row>
    <row r="494" spans="1:4">
      <c r="A494" s="676" t="s">
        <v>1843</v>
      </c>
      <c r="B494" s="760">
        <v>40875</v>
      </c>
      <c r="C494" s="751">
        <v>1</v>
      </c>
      <c r="D494" s="758">
        <v>8</v>
      </c>
    </row>
    <row r="495" spans="1:4">
      <c r="A495" s="676" t="s">
        <v>1841</v>
      </c>
      <c r="B495" s="760">
        <v>40875</v>
      </c>
      <c r="C495" s="751">
        <v>1</v>
      </c>
      <c r="D495" s="758">
        <v>8</v>
      </c>
    </row>
    <row r="496" spans="1:4">
      <c r="A496" s="676" t="s">
        <v>1843</v>
      </c>
      <c r="B496" s="760">
        <v>40877</v>
      </c>
      <c r="C496" s="751">
        <v>1</v>
      </c>
      <c r="D496" s="758">
        <v>8</v>
      </c>
    </row>
    <row r="497" spans="1:4">
      <c r="A497" s="676" t="s">
        <v>1846</v>
      </c>
      <c r="B497" s="760">
        <v>40877</v>
      </c>
      <c r="C497" s="751">
        <v>1</v>
      </c>
      <c r="D497" s="758">
        <v>8</v>
      </c>
    </row>
    <row r="498" spans="1:4">
      <c r="A498" s="676" t="s">
        <v>1838</v>
      </c>
      <c r="B498" s="760">
        <v>40877</v>
      </c>
      <c r="C498" s="751">
        <v>1</v>
      </c>
      <c r="D498" s="758">
        <v>8</v>
      </c>
    </row>
    <row r="499" spans="1:4">
      <c r="A499" s="676" t="s">
        <v>1840</v>
      </c>
      <c r="B499" s="760">
        <v>40877</v>
      </c>
      <c r="C499" s="751">
        <v>1</v>
      </c>
      <c r="D499" s="758">
        <v>15</v>
      </c>
    </row>
    <row r="500" spans="1:4">
      <c r="A500" s="676" t="s">
        <v>1841</v>
      </c>
      <c r="B500" s="760">
        <v>40880</v>
      </c>
      <c r="C500" s="751">
        <v>1</v>
      </c>
      <c r="D500" s="758">
        <v>8</v>
      </c>
    </row>
    <row r="501" spans="1:4">
      <c r="A501" s="676" t="s">
        <v>1843</v>
      </c>
      <c r="B501" s="760">
        <v>40882</v>
      </c>
      <c r="C501" s="751">
        <v>1</v>
      </c>
      <c r="D501" s="758">
        <v>8</v>
      </c>
    </row>
    <row r="502" spans="1:4">
      <c r="A502" s="676" t="s">
        <v>1841</v>
      </c>
      <c r="B502" s="760">
        <v>40882</v>
      </c>
      <c r="C502" s="751">
        <v>1</v>
      </c>
      <c r="D502" s="758">
        <v>8</v>
      </c>
    </row>
    <row r="503" spans="1:4">
      <c r="A503" s="676" t="s">
        <v>1841</v>
      </c>
      <c r="B503" s="760">
        <v>40884</v>
      </c>
      <c r="C503" s="751">
        <v>1</v>
      </c>
      <c r="D503" s="758">
        <v>8</v>
      </c>
    </row>
    <row r="504" spans="1:4">
      <c r="A504" s="676" t="s">
        <v>1843</v>
      </c>
      <c r="B504" s="760">
        <v>40891</v>
      </c>
      <c r="C504" s="751">
        <v>1</v>
      </c>
      <c r="D504" s="758">
        <v>8</v>
      </c>
    </row>
    <row r="505" spans="1:4">
      <c r="A505" s="676" t="s">
        <v>1841</v>
      </c>
      <c r="B505" s="760">
        <v>40891</v>
      </c>
      <c r="C505" s="751">
        <v>1</v>
      </c>
      <c r="D505" s="758">
        <v>8</v>
      </c>
    </row>
    <row r="506" spans="1:4">
      <c r="A506" s="676" t="s">
        <v>1843</v>
      </c>
      <c r="B506" s="760">
        <v>40893</v>
      </c>
      <c r="C506" s="751">
        <v>1</v>
      </c>
      <c r="D506" s="758">
        <v>8</v>
      </c>
    </row>
    <row r="507" spans="1:4">
      <c r="A507" s="676" t="s">
        <v>1843</v>
      </c>
      <c r="B507" s="760">
        <v>40897</v>
      </c>
      <c r="C507" s="751">
        <v>1</v>
      </c>
      <c r="D507" s="758">
        <v>8</v>
      </c>
    </row>
    <row r="508" spans="1:4">
      <c r="A508" s="676" t="s">
        <v>1843</v>
      </c>
      <c r="B508" s="760">
        <v>40898</v>
      </c>
      <c r="C508" s="751">
        <v>1</v>
      </c>
      <c r="D508" s="758">
        <v>8</v>
      </c>
    </row>
    <row r="509" spans="1:4">
      <c r="A509" s="676" t="s">
        <v>1843</v>
      </c>
      <c r="B509" s="760">
        <v>40900</v>
      </c>
      <c r="C509" s="751">
        <v>1</v>
      </c>
      <c r="D509" s="758">
        <v>8</v>
      </c>
    </row>
    <row r="510" spans="1:4">
      <c r="A510" s="676" t="s">
        <v>1841</v>
      </c>
      <c r="B510" s="760">
        <v>40901</v>
      </c>
      <c r="C510" s="751">
        <v>1</v>
      </c>
      <c r="D510" s="758">
        <v>8</v>
      </c>
    </row>
    <row r="511" spans="1:4">
      <c r="A511" s="676" t="s">
        <v>1843</v>
      </c>
      <c r="B511" s="760">
        <v>40903</v>
      </c>
      <c r="C511" s="751">
        <v>1</v>
      </c>
      <c r="D511" s="758">
        <v>8</v>
      </c>
    </row>
    <row r="512" spans="1:4">
      <c r="A512" s="676" t="s">
        <v>1843</v>
      </c>
      <c r="B512" s="760">
        <v>40905</v>
      </c>
      <c r="C512" s="751">
        <v>1</v>
      </c>
      <c r="D512" s="758">
        <v>8</v>
      </c>
    </row>
    <row r="513" spans="1:4">
      <c r="A513" s="676" t="s">
        <v>1843</v>
      </c>
      <c r="B513" s="760">
        <v>40907</v>
      </c>
      <c r="C513" s="751">
        <v>1</v>
      </c>
      <c r="D513" s="758">
        <v>8</v>
      </c>
    </row>
    <row r="514" spans="1:4">
      <c r="A514" s="676" t="s">
        <v>1843</v>
      </c>
      <c r="B514" s="760">
        <v>40908</v>
      </c>
      <c r="C514" s="751">
        <v>1</v>
      </c>
      <c r="D514" s="758">
        <v>8</v>
      </c>
    </row>
    <row r="515" spans="1:4">
      <c r="A515" s="676" t="s">
        <v>1843</v>
      </c>
      <c r="B515" s="760">
        <v>40914</v>
      </c>
      <c r="C515" s="751">
        <v>1</v>
      </c>
      <c r="D515" s="758">
        <v>8</v>
      </c>
    </row>
    <row r="516" spans="1:4">
      <c r="A516" s="676" t="s">
        <v>1843</v>
      </c>
      <c r="B516" s="760">
        <v>40917</v>
      </c>
      <c r="C516" s="751">
        <v>1</v>
      </c>
      <c r="D516" s="758">
        <v>8</v>
      </c>
    </row>
    <row r="517" spans="1:4">
      <c r="A517" s="676" t="s">
        <v>1843</v>
      </c>
      <c r="B517" s="760">
        <v>40919</v>
      </c>
      <c r="C517" s="751">
        <v>1</v>
      </c>
      <c r="D517" s="758">
        <v>8</v>
      </c>
    </row>
    <row r="518" spans="1:4">
      <c r="A518" s="676" t="s">
        <v>1841</v>
      </c>
      <c r="B518" s="760">
        <v>40920</v>
      </c>
      <c r="C518" s="751">
        <v>1</v>
      </c>
      <c r="D518" s="758">
        <v>8</v>
      </c>
    </row>
    <row r="519" spans="1:4">
      <c r="A519" s="676" t="s">
        <v>1843</v>
      </c>
      <c r="B519" s="760">
        <v>40924</v>
      </c>
      <c r="C519" s="751">
        <v>1</v>
      </c>
      <c r="D519" s="758">
        <v>8</v>
      </c>
    </row>
    <row r="520" spans="1:4">
      <c r="A520" s="676" t="s">
        <v>1843</v>
      </c>
      <c r="B520" s="760">
        <v>40925</v>
      </c>
      <c r="C520" s="751">
        <v>1</v>
      </c>
      <c r="D520" s="758">
        <v>8</v>
      </c>
    </row>
    <row r="521" spans="1:4">
      <c r="A521" s="676" t="s">
        <v>1840</v>
      </c>
      <c r="B521" s="760">
        <v>40926</v>
      </c>
      <c r="C521" s="751">
        <v>1</v>
      </c>
      <c r="D521" s="758">
        <v>15</v>
      </c>
    </row>
    <row r="522" spans="1:4">
      <c r="A522" s="676" t="s">
        <v>1843</v>
      </c>
      <c r="B522" s="760">
        <v>40936</v>
      </c>
      <c r="C522" s="751">
        <v>1</v>
      </c>
      <c r="D522" s="758">
        <v>8</v>
      </c>
    </row>
    <row r="523" spans="1:4">
      <c r="A523" s="676" t="s">
        <v>1843</v>
      </c>
      <c r="B523" s="760">
        <v>40938</v>
      </c>
      <c r="C523" s="751">
        <v>1</v>
      </c>
      <c r="D523" s="758">
        <v>8</v>
      </c>
    </row>
    <row r="524" spans="1:4">
      <c r="A524" s="676" t="s">
        <v>1843</v>
      </c>
      <c r="B524" s="760">
        <v>40939</v>
      </c>
      <c r="C524" s="751">
        <v>1</v>
      </c>
      <c r="D524" s="758">
        <v>8</v>
      </c>
    </row>
    <row r="525" spans="1:4">
      <c r="A525" s="676" t="s">
        <v>1840</v>
      </c>
      <c r="B525" s="760">
        <v>40943</v>
      </c>
      <c r="C525" s="751">
        <v>1</v>
      </c>
      <c r="D525" s="758">
        <v>15</v>
      </c>
    </row>
    <row r="526" spans="1:4">
      <c r="A526" s="676" t="s">
        <v>1843</v>
      </c>
      <c r="B526" s="760">
        <v>40945</v>
      </c>
      <c r="C526" s="751">
        <v>1</v>
      </c>
      <c r="D526" s="758">
        <v>8</v>
      </c>
    </row>
    <row r="527" spans="1:4">
      <c r="A527" s="676" t="s">
        <v>1840</v>
      </c>
      <c r="B527" s="760">
        <v>40954</v>
      </c>
      <c r="C527" s="751">
        <v>1</v>
      </c>
      <c r="D527" s="758">
        <v>15</v>
      </c>
    </row>
    <row r="528" spans="1:4">
      <c r="A528" s="676" t="s">
        <v>1843</v>
      </c>
      <c r="B528" s="760">
        <v>40957</v>
      </c>
      <c r="C528" s="751">
        <v>1</v>
      </c>
      <c r="D528" s="758">
        <v>8</v>
      </c>
    </row>
    <row r="529" spans="1:4">
      <c r="A529" s="676" t="s">
        <v>1843</v>
      </c>
      <c r="B529" s="760">
        <v>40959</v>
      </c>
      <c r="C529" s="751">
        <v>1</v>
      </c>
      <c r="D529" s="758">
        <v>8</v>
      </c>
    </row>
    <row r="530" spans="1:4">
      <c r="A530" s="676" t="s">
        <v>1840</v>
      </c>
      <c r="B530" s="760">
        <v>40959</v>
      </c>
      <c r="C530" s="751">
        <v>1</v>
      </c>
      <c r="D530" s="758">
        <v>15</v>
      </c>
    </row>
    <row r="531" spans="1:4">
      <c r="A531" s="676" t="s">
        <v>1840</v>
      </c>
      <c r="B531" s="760">
        <v>40968</v>
      </c>
      <c r="C531" s="751">
        <v>1</v>
      </c>
      <c r="D531" s="758">
        <v>15</v>
      </c>
    </row>
    <row r="532" spans="1:4">
      <c r="A532" s="676" t="s">
        <v>1841</v>
      </c>
      <c r="B532" s="760">
        <v>40971</v>
      </c>
      <c r="C532" s="751">
        <v>1</v>
      </c>
      <c r="D532" s="758">
        <v>8</v>
      </c>
    </row>
    <row r="533" spans="1:4">
      <c r="A533" s="676" t="s">
        <v>1843</v>
      </c>
      <c r="B533" s="760">
        <v>40988</v>
      </c>
      <c r="C533" s="751">
        <v>1</v>
      </c>
      <c r="D533" s="758">
        <v>8</v>
      </c>
    </row>
    <row r="534" spans="1:4">
      <c r="A534" s="676" t="s">
        <v>1843</v>
      </c>
      <c r="B534" s="760">
        <v>40991</v>
      </c>
      <c r="C534" s="751">
        <v>1</v>
      </c>
      <c r="D534" s="758">
        <v>8</v>
      </c>
    </row>
    <row r="535" spans="1:4">
      <c r="A535" s="676" t="s">
        <v>1840</v>
      </c>
      <c r="B535" s="760">
        <v>40998</v>
      </c>
      <c r="C535" s="751">
        <v>1</v>
      </c>
      <c r="D535" s="758">
        <v>15</v>
      </c>
    </row>
    <row r="536" spans="1:4">
      <c r="A536" s="676" t="s">
        <v>1843</v>
      </c>
      <c r="B536" s="760">
        <v>40999</v>
      </c>
      <c r="C536" s="751">
        <v>1</v>
      </c>
      <c r="D536" s="758">
        <v>8</v>
      </c>
    </row>
    <row r="537" spans="1:4">
      <c r="A537" s="676" t="s">
        <v>1840</v>
      </c>
      <c r="B537" s="760">
        <v>40999</v>
      </c>
      <c r="C537" s="751">
        <v>1</v>
      </c>
      <c r="D537" s="758">
        <v>15</v>
      </c>
    </row>
    <row r="538" spans="1:4">
      <c r="A538" s="676" t="s">
        <v>1838</v>
      </c>
      <c r="B538" s="760">
        <v>41000</v>
      </c>
      <c r="C538" s="751">
        <v>1</v>
      </c>
      <c r="D538" s="758">
        <v>8</v>
      </c>
    </row>
    <row r="539" spans="1:4">
      <c r="A539" s="676" t="s">
        <v>1843</v>
      </c>
      <c r="B539" s="760">
        <v>41048</v>
      </c>
      <c r="C539" s="751">
        <v>1</v>
      </c>
      <c r="D539" s="758">
        <v>8</v>
      </c>
    </row>
    <row r="540" spans="1:4">
      <c r="A540" s="676" t="s">
        <v>1843</v>
      </c>
      <c r="B540" s="760">
        <v>41052</v>
      </c>
      <c r="C540" s="751">
        <v>1</v>
      </c>
      <c r="D540" s="758">
        <v>8</v>
      </c>
    </row>
    <row r="541" spans="1:4">
      <c r="A541" s="676" t="s">
        <v>1843</v>
      </c>
      <c r="B541" s="760">
        <v>41071</v>
      </c>
      <c r="C541" s="751">
        <v>1</v>
      </c>
      <c r="D541" s="758">
        <v>8</v>
      </c>
    </row>
    <row r="542" spans="1:4">
      <c r="A542" s="676" t="s">
        <v>1842</v>
      </c>
      <c r="B542" s="760">
        <v>41182</v>
      </c>
      <c r="C542" s="751">
        <v>1</v>
      </c>
      <c r="D542" s="758">
        <v>10</v>
      </c>
    </row>
    <row r="543" spans="1:4">
      <c r="A543" s="676" t="s">
        <v>1842</v>
      </c>
      <c r="B543" s="760">
        <v>41200</v>
      </c>
      <c r="C543" s="751">
        <v>1</v>
      </c>
      <c r="D543" s="758">
        <v>10</v>
      </c>
    </row>
    <row r="544" spans="1:4">
      <c r="A544" s="676" t="s">
        <v>1842</v>
      </c>
      <c r="B544" s="760">
        <v>41214</v>
      </c>
      <c r="C544" s="751">
        <v>1</v>
      </c>
      <c r="D544" s="758">
        <v>10</v>
      </c>
    </row>
    <row r="545" spans="1:4">
      <c r="A545" s="676" t="s">
        <v>1842</v>
      </c>
      <c r="B545" s="760">
        <v>41243</v>
      </c>
      <c r="C545" s="751">
        <v>1</v>
      </c>
      <c r="D545" s="758">
        <v>10</v>
      </c>
    </row>
    <row r="546" spans="1:4">
      <c r="A546" s="676" t="s">
        <v>1847</v>
      </c>
      <c r="B546" s="760">
        <v>41296</v>
      </c>
      <c r="C546" s="751">
        <v>1</v>
      </c>
      <c r="D546" s="758">
        <v>8</v>
      </c>
    </row>
    <row r="547" spans="1:4">
      <c r="A547" s="676" t="s">
        <v>1848</v>
      </c>
      <c r="B547" s="760">
        <v>41315</v>
      </c>
      <c r="C547" s="751">
        <v>1</v>
      </c>
      <c r="D547" s="758">
        <v>40</v>
      </c>
    </row>
    <row r="548" spans="1:4">
      <c r="A548" s="676" t="s">
        <v>1843</v>
      </c>
      <c r="B548" s="760">
        <v>41332</v>
      </c>
      <c r="C548" s="751">
        <v>1</v>
      </c>
      <c r="D548" s="758">
        <v>8</v>
      </c>
    </row>
    <row r="549" spans="1:4">
      <c r="A549" s="676" t="s">
        <v>1843</v>
      </c>
      <c r="B549" s="760">
        <v>41333</v>
      </c>
      <c r="C549" s="751">
        <v>1</v>
      </c>
      <c r="D549" s="758">
        <v>8</v>
      </c>
    </row>
    <row r="550" spans="1:4">
      <c r="A550" s="676" t="s">
        <v>1838</v>
      </c>
      <c r="B550" s="760">
        <v>41334</v>
      </c>
      <c r="C550" s="751">
        <v>1</v>
      </c>
      <c r="D550" s="758">
        <v>8</v>
      </c>
    </row>
    <row r="551" spans="1:4">
      <c r="A551" s="676" t="s">
        <v>1849</v>
      </c>
      <c r="B551" s="760">
        <v>41339</v>
      </c>
      <c r="C551" s="751">
        <v>1</v>
      </c>
      <c r="D551" s="758">
        <v>15</v>
      </c>
    </row>
    <row r="552" spans="1:4">
      <c r="A552" s="676" t="s">
        <v>1843</v>
      </c>
      <c r="B552" s="760">
        <v>41346</v>
      </c>
      <c r="C552" s="751">
        <v>1</v>
      </c>
      <c r="D552" s="758">
        <v>8</v>
      </c>
    </row>
    <row r="553" spans="1:4">
      <c r="A553" s="676" t="s">
        <v>1843</v>
      </c>
      <c r="B553" s="760">
        <v>41358</v>
      </c>
      <c r="C553" s="751">
        <v>1</v>
      </c>
      <c r="D553" s="758">
        <v>8</v>
      </c>
    </row>
    <row r="554" spans="1:4">
      <c r="A554" s="676" t="s">
        <v>1843</v>
      </c>
      <c r="B554" s="760">
        <v>41364</v>
      </c>
      <c r="C554" s="751">
        <v>1</v>
      </c>
      <c r="D554" s="758">
        <v>8</v>
      </c>
    </row>
    <row r="555" spans="1:4">
      <c r="A555" s="676" t="s">
        <v>1850</v>
      </c>
      <c r="B555" s="760">
        <v>41370</v>
      </c>
      <c r="C555" s="751">
        <v>1</v>
      </c>
      <c r="D555" s="758">
        <v>15</v>
      </c>
    </row>
    <row r="556" spans="1:4">
      <c r="A556" s="676" t="s">
        <v>1850</v>
      </c>
      <c r="B556" s="760">
        <v>41395</v>
      </c>
      <c r="C556" s="751">
        <v>1</v>
      </c>
      <c r="D556" s="758">
        <v>15</v>
      </c>
    </row>
    <row r="557" spans="1:4">
      <c r="A557" s="676" t="s">
        <v>1850</v>
      </c>
      <c r="B557" s="760">
        <v>41400</v>
      </c>
      <c r="C557" s="751">
        <v>1</v>
      </c>
      <c r="D557" s="758">
        <v>15</v>
      </c>
    </row>
    <row r="558" spans="1:4" ht="24">
      <c r="A558" s="677" t="s">
        <v>1848</v>
      </c>
      <c r="B558" s="760">
        <v>41403</v>
      </c>
      <c r="C558" s="751">
        <v>1</v>
      </c>
      <c r="D558" s="758">
        <v>40</v>
      </c>
    </row>
    <row r="559" spans="1:4">
      <c r="A559" s="676" t="s">
        <v>1850</v>
      </c>
      <c r="B559" s="760">
        <v>41433</v>
      </c>
      <c r="C559" s="751">
        <v>1</v>
      </c>
      <c r="D559" s="758">
        <v>15</v>
      </c>
    </row>
    <row r="560" spans="1:4">
      <c r="A560" s="676" t="s">
        <v>1850</v>
      </c>
      <c r="B560" s="760">
        <v>41444</v>
      </c>
      <c r="C560" s="751">
        <v>1</v>
      </c>
      <c r="D560" s="758">
        <v>15</v>
      </c>
    </row>
    <row r="561" spans="1:4">
      <c r="A561" s="676" t="s">
        <v>1850</v>
      </c>
      <c r="B561" s="760">
        <v>41449</v>
      </c>
      <c r="C561" s="751">
        <v>1</v>
      </c>
      <c r="D561" s="758">
        <v>15</v>
      </c>
    </row>
    <row r="562" spans="1:4">
      <c r="A562" s="676" t="s">
        <v>1850</v>
      </c>
      <c r="B562" s="760">
        <v>41451</v>
      </c>
      <c r="C562" s="751">
        <v>1</v>
      </c>
      <c r="D562" s="758">
        <v>15</v>
      </c>
    </row>
    <row r="563" spans="1:4">
      <c r="A563" s="676" t="s">
        <v>1850</v>
      </c>
      <c r="B563" s="760">
        <v>41454</v>
      </c>
      <c r="C563" s="751">
        <v>1</v>
      </c>
      <c r="D563" s="758">
        <v>15</v>
      </c>
    </row>
    <row r="564" spans="1:4" ht="24">
      <c r="A564" s="677" t="s">
        <v>1848</v>
      </c>
      <c r="B564" s="760">
        <v>41460</v>
      </c>
      <c r="C564" s="751">
        <v>1</v>
      </c>
      <c r="D564" s="758">
        <v>40</v>
      </c>
    </row>
    <row r="565" spans="1:4">
      <c r="A565" s="676" t="s">
        <v>1850</v>
      </c>
      <c r="B565" s="760">
        <v>41475</v>
      </c>
      <c r="C565" s="751">
        <v>1</v>
      </c>
      <c r="D565" s="758">
        <v>15</v>
      </c>
    </row>
    <row r="566" spans="1:4">
      <c r="A566" s="676" t="s">
        <v>1850</v>
      </c>
      <c r="B566" s="760">
        <v>41494</v>
      </c>
      <c r="C566" s="751">
        <v>1</v>
      </c>
      <c r="D566" s="758">
        <v>15</v>
      </c>
    </row>
    <row r="567" spans="1:4" ht="24">
      <c r="A567" s="677" t="s">
        <v>1848</v>
      </c>
      <c r="B567" s="760">
        <v>41500</v>
      </c>
      <c r="C567" s="751">
        <v>1</v>
      </c>
      <c r="D567" s="758">
        <v>40</v>
      </c>
    </row>
    <row r="568" spans="1:4" ht="24">
      <c r="A568" s="677" t="s">
        <v>1848</v>
      </c>
      <c r="B568" s="760">
        <v>41507</v>
      </c>
      <c r="C568" s="751">
        <v>1</v>
      </c>
      <c r="D568" s="758">
        <v>40</v>
      </c>
    </row>
    <row r="569" spans="1:4">
      <c r="A569" s="676" t="s">
        <v>1850</v>
      </c>
      <c r="B569" s="760">
        <v>41530</v>
      </c>
      <c r="C569" s="751">
        <v>1</v>
      </c>
      <c r="D569" s="758">
        <v>15</v>
      </c>
    </row>
    <row r="570" spans="1:4" ht="24">
      <c r="A570" s="677" t="s">
        <v>1848</v>
      </c>
      <c r="B570" s="760">
        <v>41530</v>
      </c>
      <c r="C570" s="751">
        <v>1</v>
      </c>
      <c r="D570" s="758">
        <v>40</v>
      </c>
    </row>
    <row r="571" spans="1:4" ht="24">
      <c r="A571" s="677" t="s">
        <v>1848</v>
      </c>
      <c r="B571" s="760">
        <v>41550</v>
      </c>
      <c r="C571" s="751">
        <v>1</v>
      </c>
      <c r="D571" s="758">
        <v>40</v>
      </c>
    </row>
    <row r="572" spans="1:4">
      <c r="A572" s="676" t="s">
        <v>1850</v>
      </c>
      <c r="B572" s="760">
        <v>41563</v>
      </c>
      <c r="C572" s="751">
        <v>1</v>
      </c>
      <c r="D572" s="758">
        <v>15</v>
      </c>
    </row>
    <row r="573" spans="1:4" ht="24">
      <c r="A573" s="677" t="s">
        <v>1848</v>
      </c>
      <c r="B573" s="760">
        <v>41563</v>
      </c>
      <c r="C573" s="751">
        <v>1</v>
      </c>
      <c r="D573" s="758">
        <v>40</v>
      </c>
    </row>
    <row r="574" spans="1:4">
      <c r="A574" s="676" t="s">
        <v>1850</v>
      </c>
      <c r="B574" s="760">
        <v>41566</v>
      </c>
      <c r="C574" s="751">
        <v>1</v>
      </c>
      <c r="D574" s="758">
        <v>15</v>
      </c>
    </row>
    <row r="575" spans="1:4" ht="24">
      <c r="A575" s="677" t="s">
        <v>1848</v>
      </c>
      <c r="B575" s="760">
        <v>41592</v>
      </c>
      <c r="C575" s="751">
        <v>1</v>
      </c>
      <c r="D575" s="758">
        <v>40</v>
      </c>
    </row>
    <row r="576" spans="1:4">
      <c r="A576" s="676" t="s">
        <v>1851</v>
      </c>
      <c r="B576" s="760">
        <v>41605</v>
      </c>
      <c r="C576" s="751">
        <v>1</v>
      </c>
      <c r="D576" s="758">
        <v>8</v>
      </c>
    </row>
    <row r="577" spans="1:4">
      <c r="A577" s="676" t="s">
        <v>1850</v>
      </c>
      <c r="B577" s="760">
        <v>41606</v>
      </c>
      <c r="C577" s="751">
        <v>1</v>
      </c>
      <c r="D577" s="758">
        <v>15</v>
      </c>
    </row>
    <row r="578" spans="1:4">
      <c r="A578" s="676" t="s">
        <v>1850</v>
      </c>
      <c r="B578" s="760">
        <v>41607</v>
      </c>
      <c r="C578" s="751">
        <v>1</v>
      </c>
      <c r="D578" s="758">
        <v>15</v>
      </c>
    </row>
    <row r="579" spans="1:4">
      <c r="A579" s="676" t="s">
        <v>1850</v>
      </c>
      <c r="B579" s="760">
        <v>41619</v>
      </c>
      <c r="C579" s="751">
        <v>1</v>
      </c>
      <c r="D579" s="758">
        <v>15</v>
      </c>
    </row>
    <row r="580" spans="1:4">
      <c r="A580" s="676" t="s">
        <v>1852</v>
      </c>
      <c r="B580" s="760">
        <v>41656</v>
      </c>
      <c r="C580" s="751">
        <v>1</v>
      </c>
      <c r="D580" s="758">
        <v>15</v>
      </c>
    </row>
    <row r="581" spans="1:4">
      <c r="A581" s="676" t="s">
        <v>1850</v>
      </c>
      <c r="B581" s="760">
        <v>41669</v>
      </c>
      <c r="C581" s="751">
        <v>1</v>
      </c>
      <c r="D581" s="758">
        <v>15</v>
      </c>
    </row>
    <row r="582" spans="1:4">
      <c r="A582" s="676" t="s">
        <v>1850</v>
      </c>
      <c r="B582" s="760">
        <v>41671</v>
      </c>
      <c r="C582" s="751">
        <v>1</v>
      </c>
      <c r="D582" s="758">
        <v>15</v>
      </c>
    </row>
    <row r="583" spans="1:4">
      <c r="A583" s="676" t="s">
        <v>1850</v>
      </c>
      <c r="B583" s="760">
        <v>41673</v>
      </c>
      <c r="C583" s="751">
        <v>1</v>
      </c>
      <c r="D583" s="758">
        <v>15</v>
      </c>
    </row>
    <row r="584" spans="1:4" ht="24">
      <c r="A584" s="677" t="s">
        <v>1848</v>
      </c>
      <c r="B584" s="760">
        <v>41690</v>
      </c>
      <c r="C584" s="751">
        <v>1</v>
      </c>
      <c r="D584" s="758">
        <v>40</v>
      </c>
    </row>
    <row r="585" spans="1:4" ht="24">
      <c r="A585" s="677" t="s">
        <v>1848</v>
      </c>
      <c r="B585" s="760">
        <v>41699</v>
      </c>
      <c r="C585" s="751">
        <v>1</v>
      </c>
      <c r="D585" s="758">
        <v>40</v>
      </c>
    </row>
    <row r="586" spans="1:4">
      <c r="A586" s="676" t="s">
        <v>1850</v>
      </c>
      <c r="B586" s="760">
        <v>41703</v>
      </c>
      <c r="C586" s="751">
        <v>1</v>
      </c>
      <c r="D586" s="758">
        <v>15</v>
      </c>
    </row>
    <row r="587" spans="1:4" ht="24">
      <c r="A587" s="677" t="s">
        <v>1848</v>
      </c>
      <c r="B587" s="760">
        <v>41725</v>
      </c>
      <c r="C587" s="751">
        <v>1</v>
      </c>
      <c r="D587" s="758">
        <v>40</v>
      </c>
    </row>
    <row r="588" spans="1:4">
      <c r="A588" s="676" t="s">
        <v>1843</v>
      </c>
      <c r="B588" s="760">
        <v>41729</v>
      </c>
      <c r="C588" s="751">
        <v>1</v>
      </c>
      <c r="D588" s="758">
        <v>8</v>
      </c>
    </row>
    <row r="589" spans="1:4">
      <c r="A589" s="676" t="s">
        <v>1853</v>
      </c>
      <c r="B589" s="760">
        <v>41729</v>
      </c>
      <c r="C589" s="751">
        <v>1</v>
      </c>
      <c r="D589" s="758">
        <v>15</v>
      </c>
    </row>
    <row r="590" spans="1:4">
      <c r="A590" s="676" t="s">
        <v>1850</v>
      </c>
      <c r="B590" s="760">
        <v>41729</v>
      </c>
      <c r="C590" s="751">
        <v>1</v>
      </c>
      <c r="D590" s="758">
        <v>15</v>
      </c>
    </row>
    <row r="591" spans="1:4" ht="24">
      <c r="A591" s="677" t="s">
        <v>1848</v>
      </c>
      <c r="B591" s="760">
        <v>41729</v>
      </c>
      <c r="C591" s="751">
        <v>1</v>
      </c>
      <c r="D591" s="758">
        <v>40</v>
      </c>
    </row>
    <row r="592" spans="1:4">
      <c r="A592" s="676" t="s">
        <v>1840</v>
      </c>
      <c r="B592" s="760">
        <v>41978</v>
      </c>
      <c r="C592" s="751">
        <v>1</v>
      </c>
      <c r="D592" s="758">
        <v>15</v>
      </c>
    </row>
    <row r="593" spans="1:4">
      <c r="A593" s="676" t="s">
        <v>1854</v>
      </c>
      <c r="B593" s="760">
        <v>42060</v>
      </c>
      <c r="C593" s="751">
        <v>1</v>
      </c>
      <c r="D593" s="758">
        <v>15</v>
      </c>
    </row>
    <row r="594" spans="1:4">
      <c r="A594" s="676" t="s">
        <v>1853</v>
      </c>
      <c r="B594" s="760">
        <v>42088</v>
      </c>
      <c r="C594" s="751">
        <v>1</v>
      </c>
      <c r="D594" s="758">
        <v>15</v>
      </c>
    </row>
    <row r="595" spans="1:4">
      <c r="A595" s="668" t="s">
        <v>1855</v>
      </c>
      <c r="B595" s="419">
        <v>42277</v>
      </c>
      <c r="C595" s="751">
        <v>1</v>
      </c>
      <c r="D595" s="759"/>
    </row>
    <row r="596" spans="1:4">
      <c r="A596" s="668" t="s">
        <v>1855</v>
      </c>
      <c r="B596" s="419">
        <v>42277</v>
      </c>
      <c r="C596" s="751">
        <v>1</v>
      </c>
      <c r="D596" s="759"/>
    </row>
    <row r="597" spans="1:4">
      <c r="A597" s="668" t="s">
        <v>1855</v>
      </c>
      <c r="B597" s="419">
        <v>42277</v>
      </c>
      <c r="C597" s="751">
        <v>1</v>
      </c>
      <c r="D597" s="759"/>
    </row>
    <row r="598" spans="1:4">
      <c r="A598" s="668" t="s">
        <v>1855</v>
      </c>
      <c r="B598" s="419">
        <v>42277</v>
      </c>
      <c r="C598" s="751">
        <v>1</v>
      </c>
      <c r="D598" s="759"/>
    </row>
    <row r="599" spans="1:4">
      <c r="A599" s="668" t="s">
        <v>1855</v>
      </c>
      <c r="B599" s="419">
        <v>42277</v>
      </c>
      <c r="C599" s="751">
        <v>1</v>
      </c>
      <c r="D599" s="759"/>
    </row>
    <row r="600" spans="1:4">
      <c r="A600" s="668" t="s">
        <v>1855</v>
      </c>
      <c r="B600" s="419">
        <v>42277</v>
      </c>
      <c r="C600" s="751">
        <v>1</v>
      </c>
      <c r="D600" s="759"/>
    </row>
    <row r="601" spans="1:4">
      <c r="A601" s="668" t="s">
        <v>1855</v>
      </c>
      <c r="B601" s="419">
        <v>42277</v>
      </c>
      <c r="C601" s="751">
        <v>1</v>
      </c>
      <c r="D601" s="759"/>
    </row>
    <row r="602" spans="1:4">
      <c r="A602" s="676" t="s">
        <v>1840</v>
      </c>
      <c r="B602" s="419">
        <v>42277</v>
      </c>
      <c r="C602" s="751">
        <v>1</v>
      </c>
      <c r="D602" s="759"/>
    </row>
    <row r="603" spans="1:4">
      <c r="A603" s="676" t="s">
        <v>1840</v>
      </c>
      <c r="B603" s="419">
        <v>42277</v>
      </c>
      <c r="C603" s="751">
        <v>1</v>
      </c>
      <c r="D603" s="759"/>
    </row>
    <row r="604" spans="1:4">
      <c r="A604" s="676" t="s">
        <v>1840</v>
      </c>
      <c r="B604" s="419">
        <v>42277</v>
      </c>
      <c r="C604" s="751">
        <v>1</v>
      </c>
      <c r="D604" s="759"/>
    </row>
    <row r="605" spans="1:4">
      <c r="A605" s="676" t="s">
        <v>1840</v>
      </c>
      <c r="B605" s="419">
        <v>42277</v>
      </c>
      <c r="C605" s="751">
        <v>1</v>
      </c>
      <c r="D605" s="759"/>
    </row>
    <row r="606" spans="1:4">
      <c r="A606" s="676" t="s">
        <v>1840</v>
      </c>
      <c r="B606" s="419">
        <v>42277</v>
      </c>
      <c r="C606" s="751">
        <v>1</v>
      </c>
      <c r="D606" s="759"/>
    </row>
    <row r="607" spans="1:4">
      <c r="A607" s="676" t="s">
        <v>1840</v>
      </c>
      <c r="B607" s="419">
        <v>42277</v>
      </c>
      <c r="C607" s="751">
        <v>1</v>
      </c>
      <c r="D607" s="759"/>
    </row>
    <row r="608" spans="1:4">
      <c r="A608" s="668" t="s">
        <v>1855</v>
      </c>
      <c r="B608" s="419">
        <v>42277</v>
      </c>
      <c r="C608" s="751">
        <v>1</v>
      </c>
      <c r="D608" s="759"/>
    </row>
    <row r="609" spans="1:4">
      <c r="A609" s="668" t="s">
        <v>1855</v>
      </c>
      <c r="B609" s="419">
        <v>42277</v>
      </c>
      <c r="C609" s="751">
        <v>1</v>
      </c>
      <c r="D609" s="759"/>
    </row>
    <row r="610" spans="1:4">
      <c r="A610" s="668" t="s">
        <v>1855</v>
      </c>
      <c r="B610" s="419">
        <v>42277</v>
      </c>
      <c r="C610" s="751">
        <v>1</v>
      </c>
      <c r="D610" s="759"/>
    </row>
    <row r="611" spans="1:4">
      <c r="A611" s="668" t="s">
        <v>1855</v>
      </c>
      <c r="B611" s="419">
        <v>42277</v>
      </c>
      <c r="C611" s="751">
        <v>1</v>
      </c>
      <c r="D611" s="759"/>
    </row>
    <row r="612" spans="1:4" s="356" customFormat="1">
      <c r="A612" s="754"/>
      <c r="B612" s="752" t="s">
        <v>58</v>
      </c>
      <c r="C612" s="752">
        <f>SUM(C5:C611)</f>
        <v>607</v>
      </c>
      <c r="D612" s="752"/>
    </row>
  </sheetData>
  <mergeCells count="1">
    <mergeCell ref="A1:D1"/>
  </mergeCells>
  <pageMargins left="0.76" right="0.7" top="0.75" bottom="0.75" header="0.3" footer="0.3"/>
  <pageSetup paperSize="5" scale="85" orientation="portrait" r:id="rId1"/>
</worksheet>
</file>

<file path=xl/worksheets/sheet30.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1.xml><?xml version="1.0" encoding="utf-8"?>
<worksheet xmlns="http://schemas.openxmlformats.org/spreadsheetml/2006/main" xmlns:r="http://schemas.openxmlformats.org/officeDocument/2006/relationships">
  <sheetPr filterMode="1"/>
  <dimension ref="A1:N225"/>
  <sheetViews>
    <sheetView workbookViewId="0">
      <pane ySplit="4" topLeftCell="A21" activePane="bottomLeft" state="frozen"/>
      <selection pane="bottomLeft" activeCell="K19" sqref="K19"/>
    </sheetView>
  </sheetViews>
  <sheetFormatPr defaultColWidth="9.140625" defaultRowHeight="15"/>
  <cols>
    <col min="1" max="1" width="4.140625" style="392" customWidth="1"/>
    <col min="2" max="2" width="28.42578125" style="391" customWidth="1"/>
    <col min="3" max="3" width="13" style="478" customWidth="1"/>
    <col min="4" max="5" width="15.140625" style="393" customWidth="1"/>
    <col min="6" max="6" width="11.42578125" style="394" customWidth="1"/>
    <col min="7" max="7" width="16.85546875" style="394" customWidth="1"/>
    <col min="8" max="8" width="18.140625" style="394" customWidth="1"/>
    <col min="9" max="9" width="12.5703125" style="394" customWidth="1"/>
    <col min="10" max="10" width="19.42578125" style="143" customWidth="1"/>
    <col min="11" max="11" width="19.42578125" style="388" customWidth="1"/>
    <col min="12" max="12" width="24.28515625" style="390" customWidth="1"/>
    <col min="13" max="13" width="15.7109375" style="388" customWidth="1"/>
    <col min="14" max="14" width="13.28515625" style="394" customWidth="1"/>
    <col min="15" max="16384" width="9.140625" style="394"/>
  </cols>
  <sheetData>
    <row r="1" spans="1:14">
      <c r="C1" s="394"/>
      <c r="D1" s="394" t="s">
        <v>1652</v>
      </c>
      <c r="E1" s="394"/>
      <c r="L1" s="388" t="s">
        <v>2444</v>
      </c>
      <c r="M1" s="388" t="s">
        <v>2445</v>
      </c>
      <c r="N1" s="389"/>
    </row>
    <row r="2" spans="1:14" ht="23.25">
      <c r="A2" s="387"/>
      <c r="B2" s="1628" t="s">
        <v>401</v>
      </c>
      <c r="C2" s="1628"/>
      <c r="D2" s="1628"/>
      <c r="E2" s="1628"/>
      <c r="F2" s="1628"/>
      <c r="G2" s="1628"/>
      <c r="H2" s="1628"/>
      <c r="I2" s="1628"/>
      <c r="J2" s="1628"/>
      <c r="K2" s="1628"/>
      <c r="L2" s="385">
        <f ca="1">TODAY()</f>
        <v>43956</v>
      </c>
      <c r="M2" s="386"/>
      <c r="N2" s="395"/>
    </row>
    <row r="3" spans="1:14">
      <c r="A3" s="396"/>
      <c r="B3" s="397"/>
      <c r="C3" s="395"/>
      <c r="D3" s="398"/>
      <c r="E3" s="398"/>
      <c r="F3" s="395"/>
      <c r="G3" s="395"/>
      <c r="H3" s="395"/>
      <c r="I3" s="395"/>
      <c r="J3" s="399"/>
      <c r="K3" s="400"/>
      <c r="L3" s="401"/>
      <c r="M3" s="400"/>
      <c r="N3" s="402"/>
    </row>
    <row r="4" spans="1:14" ht="30">
      <c r="A4" s="403" t="s">
        <v>402</v>
      </c>
      <c r="B4" s="404" t="s">
        <v>403</v>
      </c>
      <c r="C4" s="404" t="s">
        <v>404</v>
      </c>
      <c r="D4" s="405" t="s">
        <v>405</v>
      </c>
      <c r="E4" s="405" t="s">
        <v>2446</v>
      </c>
      <c r="F4" s="404" t="s">
        <v>406</v>
      </c>
      <c r="G4" s="404" t="s">
        <v>2447</v>
      </c>
      <c r="H4" s="404" t="s">
        <v>407</v>
      </c>
      <c r="I4" s="404" t="s">
        <v>408</v>
      </c>
      <c r="J4" s="404" t="s">
        <v>409</v>
      </c>
      <c r="K4" s="404" t="s">
        <v>410</v>
      </c>
      <c r="L4" s="404" t="s">
        <v>411</v>
      </c>
      <c r="M4" s="404" t="s">
        <v>412</v>
      </c>
      <c r="N4" s="404" t="s">
        <v>413</v>
      </c>
    </row>
    <row r="5" spans="1:14" ht="68.25" customHeight="1">
      <c r="A5" s="406">
        <v>1</v>
      </c>
      <c r="B5" s="407" t="s">
        <v>414</v>
      </c>
      <c r="C5" s="408" t="s">
        <v>415</v>
      </c>
      <c r="D5" s="409" t="s">
        <v>416</v>
      </c>
      <c r="E5" s="409" t="s">
        <v>416</v>
      </c>
      <c r="F5" s="408" t="s">
        <v>417</v>
      </c>
      <c r="G5" s="561">
        <v>138</v>
      </c>
      <c r="H5" s="410" t="s">
        <v>418</v>
      </c>
      <c r="I5" s="408" t="s">
        <v>419</v>
      </c>
      <c r="J5" s="411" t="s">
        <v>420</v>
      </c>
      <c r="K5" s="411"/>
      <c r="L5" s="406" t="s">
        <v>422</v>
      </c>
      <c r="M5" s="407" t="s">
        <v>423</v>
      </c>
      <c r="N5" s="407" t="s">
        <v>424</v>
      </c>
    </row>
    <row r="6" spans="1:14" ht="60">
      <c r="A6" s="406">
        <v>2</v>
      </c>
      <c r="B6" s="407" t="s">
        <v>425</v>
      </c>
      <c r="C6" s="413" t="s">
        <v>426</v>
      </c>
      <c r="D6" s="414" t="s">
        <v>427</v>
      </c>
      <c r="E6" s="414" t="s">
        <v>427</v>
      </c>
      <c r="F6" s="413" t="s">
        <v>428</v>
      </c>
      <c r="G6" s="561">
        <v>138</v>
      </c>
      <c r="H6" s="410" t="s">
        <v>429</v>
      </c>
      <c r="I6" s="415" t="s">
        <v>430</v>
      </c>
      <c r="J6" s="407" t="s">
        <v>431</v>
      </c>
      <c r="K6" s="411"/>
      <c r="L6" s="406" t="s">
        <v>432</v>
      </c>
      <c r="M6" s="407" t="s">
        <v>433</v>
      </c>
      <c r="N6" s="407" t="s">
        <v>424</v>
      </c>
    </row>
    <row r="7" spans="1:14" ht="60">
      <c r="A7" s="406">
        <v>3</v>
      </c>
      <c r="B7" s="406" t="s">
        <v>443</v>
      </c>
      <c r="C7" s="415" t="s">
        <v>444</v>
      </c>
      <c r="D7" s="414" t="s">
        <v>445</v>
      </c>
      <c r="E7" s="414" t="s">
        <v>445</v>
      </c>
      <c r="F7" s="415" t="s">
        <v>446</v>
      </c>
      <c r="G7" s="561">
        <v>138</v>
      </c>
      <c r="H7" s="410" t="s">
        <v>447</v>
      </c>
      <c r="I7" s="408" t="s">
        <v>419</v>
      </c>
      <c r="J7" s="406" t="s">
        <v>448</v>
      </c>
      <c r="K7" s="362"/>
      <c r="L7" s="406" t="s">
        <v>432</v>
      </c>
      <c r="M7" s="407" t="s">
        <v>450</v>
      </c>
      <c r="N7" s="407" t="s">
        <v>424</v>
      </c>
    </row>
    <row r="8" spans="1:14" ht="60">
      <c r="A8" s="406">
        <v>4</v>
      </c>
      <c r="B8" s="407" t="s">
        <v>451</v>
      </c>
      <c r="C8" s="415" t="s">
        <v>452</v>
      </c>
      <c r="D8" s="409" t="s">
        <v>453</v>
      </c>
      <c r="E8" s="409" t="s">
        <v>453</v>
      </c>
      <c r="F8" s="410" t="s">
        <v>454</v>
      </c>
      <c r="G8" s="561">
        <v>138</v>
      </c>
      <c r="H8" s="410" t="s">
        <v>455</v>
      </c>
      <c r="I8" s="408" t="s">
        <v>419</v>
      </c>
      <c r="J8" s="417" t="s">
        <v>456</v>
      </c>
      <c r="K8" s="411"/>
      <c r="L8" s="406" t="s">
        <v>457</v>
      </c>
      <c r="M8" s="407" t="s">
        <v>423</v>
      </c>
      <c r="N8" s="407" t="s">
        <v>424</v>
      </c>
    </row>
    <row r="9" spans="1:14" ht="60">
      <c r="A9" s="406">
        <v>5</v>
      </c>
      <c r="B9" s="406" t="s">
        <v>458</v>
      </c>
      <c r="C9" s="418" t="s">
        <v>459</v>
      </c>
      <c r="D9" s="419" t="s">
        <v>460</v>
      </c>
      <c r="E9" s="419" t="s">
        <v>460</v>
      </c>
      <c r="F9" s="420" t="s">
        <v>461</v>
      </c>
      <c r="G9" s="561">
        <v>138</v>
      </c>
      <c r="H9" s="421" t="s">
        <v>462</v>
      </c>
      <c r="I9" s="362" t="s">
        <v>419</v>
      </c>
      <c r="J9" s="422" t="s">
        <v>463</v>
      </c>
      <c r="K9" s="362"/>
      <c r="L9" s="406" t="s">
        <v>432</v>
      </c>
      <c r="M9" s="407" t="s">
        <v>423</v>
      </c>
      <c r="N9" s="407" t="s">
        <v>424</v>
      </c>
    </row>
    <row r="10" spans="1:14" ht="60">
      <c r="A10" s="406">
        <v>6</v>
      </c>
      <c r="B10" s="423" t="s">
        <v>464</v>
      </c>
      <c r="C10" s="415" t="s">
        <v>465</v>
      </c>
      <c r="D10" s="414" t="s">
        <v>466</v>
      </c>
      <c r="E10" s="414" t="s">
        <v>466</v>
      </c>
      <c r="F10" s="415" t="s">
        <v>467</v>
      </c>
      <c r="G10" s="561">
        <v>138</v>
      </c>
      <c r="H10" s="408" t="s">
        <v>468</v>
      </c>
      <c r="I10" s="408" t="s">
        <v>419</v>
      </c>
      <c r="J10" s="423" t="s">
        <v>469</v>
      </c>
      <c r="K10" s="411"/>
      <c r="L10" s="406" t="s">
        <v>470</v>
      </c>
      <c r="M10" s="407" t="s">
        <v>471</v>
      </c>
      <c r="N10" s="407" t="s">
        <v>472</v>
      </c>
    </row>
    <row r="11" spans="1:14" ht="75">
      <c r="A11" s="406">
        <v>7</v>
      </c>
      <c r="B11" s="406" t="s">
        <v>473</v>
      </c>
      <c r="C11" s="413" t="s">
        <v>474</v>
      </c>
      <c r="D11" s="414" t="s">
        <v>475</v>
      </c>
      <c r="E11" s="414" t="s">
        <v>475</v>
      </c>
      <c r="F11" s="413" t="s">
        <v>476</v>
      </c>
      <c r="G11" s="561">
        <v>138</v>
      </c>
      <c r="H11" s="410" t="s">
        <v>477</v>
      </c>
      <c r="I11" s="408" t="s">
        <v>419</v>
      </c>
      <c r="J11" s="424" t="s">
        <v>478</v>
      </c>
      <c r="K11" s="362"/>
      <c r="L11" s="406" t="s">
        <v>479</v>
      </c>
      <c r="M11" s="407" t="s">
        <v>480</v>
      </c>
      <c r="N11" s="407" t="s">
        <v>424</v>
      </c>
    </row>
    <row r="12" spans="1:14" ht="60">
      <c r="A12" s="406">
        <v>8</v>
      </c>
      <c r="B12" s="406" t="s">
        <v>481</v>
      </c>
      <c r="C12" s="425" t="s">
        <v>482</v>
      </c>
      <c r="D12" s="409" t="s">
        <v>416</v>
      </c>
      <c r="E12" s="409" t="s">
        <v>416</v>
      </c>
      <c r="F12" s="410" t="s">
        <v>483</v>
      </c>
      <c r="G12" s="561">
        <v>138</v>
      </c>
      <c r="H12" s="410" t="s">
        <v>484</v>
      </c>
      <c r="I12" s="408" t="s">
        <v>419</v>
      </c>
      <c r="J12" s="426" t="s">
        <v>485</v>
      </c>
      <c r="K12" s="411"/>
      <c r="L12" s="406" t="s">
        <v>487</v>
      </c>
      <c r="M12" s="407" t="s">
        <v>423</v>
      </c>
      <c r="N12" s="407" t="s">
        <v>424</v>
      </c>
    </row>
    <row r="13" spans="1:14" ht="60">
      <c r="A13" s="406">
        <v>9</v>
      </c>
      <c r="B13" s="406" t="s">
        <v>488</v>
      </c>
      <c r="C13" s="413" t="s">
        <v>489</v>
      </c>
      <c r="D13" s="414" t="s">
        <v>490</v>
      </c>
      <c r="E13" s="414" t="s">
        <v>490</v>
      </c>
      <c r="F13" s="413" t="s">
        <v>491</v>
      </c>
      <c r="G13" s="561">
        <v>138</v>
      </c>
      <c r="H13" s="410" t="s">
        <v>492</v>
      </c>
      <c r="I13" s="408" t="s">
        <v>419</v>
      </c>
      <c r="J13" s="427">
        <v>85184.94</v>
      </c>
      <c r="K13" s="362"/>
      <c r="L13" s="406" t="s">
        <v>493</v>
      </c>
      <c r="M13" s="407" t="s">
        <v>450</v>
      </c>
      <c r="N13" s="407" t="s">
        <v>424</v>
      </c>
    </row>
    <row r="14" spans="1:14" ht="60">
      <c r="A14" s="406">
        <v>10</v>
      </c>
      <c r="B14" s="562" t="s">
        <v>494</v>
      </c>
      <c r="C14" s="413" t="s">
        <v>495</v>
      </c>
      <c r="D14" s="563" t="s">
        <v>496</v>
      </c>
      <c r="E14" s="564"/>
      <c r="F14" s="565" t="s">
        <v>497</v>
      </c>
      <c r="G14" s="566">
        <v>138</v>
      </c>
      <c r="H14" s="410" t="s">
        <v>498</v>
      </c>
      <c r="I14" s="415" t="s">
        <v>499</v>
      </c>
      <c r="J14" s="567" t="s">
        <v>500</v>
      </c>
      <c r="K14" s="412" t="s">
        <v>449</v>
      </c>
      <c r="L14" s="406" t="s">
        <v>457</v>
      </c>
      <c r="M14" s="562" t="s">
        <v>501</v>
      </c>
      <c r="N14" s="562" t="s">
        <v>424</v>
      </c>
    </row>
    <row r="15" spans="1:14" ht="75">
      <c r="A15" s="406">
        <v>11</v>
      </c>
      <c r="B15" s="412" t="s">
        <v>502</v>
      </c>
      <c r="C15" s="418" t="s">
        <v>503</v>
      </c>
      <c r="D15" s="563" t="s">
        <v>504</v>
      </c>
      <c r="E15" s="568"/>
      <c r="F15" s="569" t="s">
        <v>505</v>
      </c>
      <c r="G15" s="566">
        <v>138</v>
      </c>
      <c r="H15" s="362" t="s">
        <v>506</v>
      </c>
      <c r="I15" s="362" t="s">
        <v>430</v>
      </c>
      <c r="J15" s="570" t="s">
        <v>507</v>
      </c>
      <c r="K15" s="562" t="s">
        <v>508</v>
      </c>
      <c r="L15" s="406" t="s">
        <v>509</v>
      </c>
      <c r="M15" s="562" t="s">
        <v>510</v>
      </c>
      <c r="N15" s="562" t="s">
        <v>511</v>
      </c>
    </row>
    <row r="16" spans="1:14" ht="60">
      <c r="A16" s="406">
        <v>12</v>
      </c>
      <c r="B16" s="407" t="s">
        <v>512</v>
      </c>
      <c r="C16" s="415" t="s">
        <v>495</v>
      </c>
      <c r="D16" s="414" t="s">
        <v>460</v>
      </c>
      <c r="E16" s="414" t="s">
        <v>460</v>
      </c>
      <c r="F16" s="413" t="s">
        <v>513</v>
      </c>
      <c r="G16" s="561">
        <v>138</v>
      </c>
      <c r="H16" s="410" t="s">
        <v>514</v>
      </c>
      <c r="I16" s="408" t="s">
        <v>419</v>
      </c>
      <c r="J16" s="423" t="s">
        <v>515</v>
      </c>
      <c r="K16" s="411"/>
      <c r="L16" s="406" t="s">
        <v>516</v>
      </c>
      <c r="M16" s="407" t="s">
        <v>433</v>
      </c>
      <c r="N16" s="407" t="s">
        <v>424</v>
      </c>
    </row>
    <row r="17" spans="1:14" ht="75" hidden="1">
      <c r="A17" s="406">
        <v>13</v>
      </c>
      <c r="B17" s="429" t="s">
        <v>517</v>
      </c>
      <c r="C17" s="418" t="s">
        <v>518</v>
      </c>
      <c r="D17" s="419" t="s">
        <v>519</v>
      </c>
      <c r="E17" s="419" t="s">
        <v>519</v>
      </c>
      <c r="F17" s="378" t="s">
        <v>520</v>
      </c>
      <c r="G17" s="561">
        <v>138</v>
      </c>
      <c r="H17" s="362" t="s">
        <v>521</v>
      </c>
      <c r="I17" s="362" t="s">
        <v>419</v>
      </c>
      <c r="J17" s="430">
        <v>43122</v>
      </c>
      <c r="K17" s="362"/>
      <c r="L17" s="407" t="s">
        <v>523</v>
      </c>
      <c r="M17" s="417"/>
      <c r="N17" s="431" t="s">
        <v>511</v>
      </c>
    </row>
    <row r="18" spans="1:14" ht="60">
      <c r="A18" s="406">
        <v>14</v>
      </c>
      <c r="B18" s="407" t="s">
        <v>524</v>
      </c>
      <c r="C18" s="415" t="s">
        <v>495</v>
      </c>
      <c r="D18" s="414" t="s">
        <v>490</v>
      </c>
      <c r="E18" s="414" t="s">
        <v>490</v>
      </c>
      <c r="F18" s="413" t="s">
        <v>525</v>
      </c>
      <c r="G18" s="561">
        <v>138</v>
      </c>
      <c r="H18" s="410" t="s">
        <v>526</v>
      </c>
      <c r="I18" s="408" t="s">
        <v>419</v>
      </c>
      <c r="J18" s="407" t="s">
        <v>527</v>
      </c>
      <c r="K18" s="411"/>
      <c r="L18" s="406" t="s">
        <v>516</v>
      </c>
      <c r="M18" s="407" t="s">
        <v>501</v>
      </c>
      <c r="N18" s="407" t="s">
        <v>424</v>
      </c>
    </row>
    <row r="19" spans="1:14" ht="60" hidden="1">
      <c r="A19" s="406">
        <v>15</v>
      </c>
      <c r="B19" s="412" t="s">
        <v>528</v>
      </c>
      <c r="C19" s="418" t="s">
        <v>518</v>
      </c>
      <c r="D19" s="563" t="s">
        <v>529</v>
      </c>
      <c r="E19" s="571"/>
      <c r="F19" s="569" t="s">
        <v>530</v>
      </c>
      <c r="G19" s="566">
        <v>138</v>
      </c>
      <c r="H19" s="362" t="s">
        <v>531</v>
      </c>
      <c r="I19" s="362" t="s">
        <v>430</v>
      </c>
      <c r="J19" s="412" t="s">
        <v>532</v>
      </c>
      <c r="K19" s="412"/>
      <c r="L19" s="407" t="s">
        <v>523</v>
      </c>
      <c r="M19" s="572"/>
      <c r="N19" s="567" t="s">
        <v>511</v>
      </c>
    </row>
    <row r="20" spans="1:14" ht="60">
      <c r="A20" s="406">
        <v>16</v>
      </c>
      <c r="B20" s="406" t="s">
        <v>533</v>
      </c>
      <c r="C20" s="413" t="s">
        <v>495</v>
      </c>
      <c r="D20" s="414" t="s">
        <v>460</v>
      </c>
      <c r="E20" s="414" t="s">
        <v>460</v>
      </c>
      <c r="F20" s="413" t="s">
        <v>534</v>
      </c>
      <c r="G20" s="561">
        <v>138</v>
      </c>
      <c r="H20" s="410" t="s">
        <v>535</v>
      </c>
      <c r="I20" s="408" t="s">
        <v>419</v>
      </c>
      <c r="J20" s="406" t="s">
        <v>536</v>
      </c>
      <c r="K20" s="411"/>
      <c r="L20" s="406" t="s">
        <v>516</v>
      </c>
      <c r="M20" s="407" t="s">
        <v>450</v>
      </c>
      <c r="N20" s="407" t="s">
        <v>424</v>
      </c>
    </row>
    <row r="21" spans="1:14" ht="60">
      <c r="A21" s="406">
        <v>17</v>
      </c>
      <c r="B21" s="562" t="s">
        <v>537</v>
      </c>
      <c r="C21" s="415" t="s">
        <v>495</v>
      </c>
      <c r="D21" s="563" t="s">
        <v>496</v>
      </c>
      <c r="E21" s="573"/>
      <c r="F21" s="565" t="s">
        <v>538</v>
      </c>
      <c r="G21" s="566">
        <v>138</v>
      </c>
      <c r="H21" s="410" t="s">
        <v>539</v>
      </c>
      <c r="I21" s="415" t="s">
        <v>499</v>
      </c>
      <c r="J21" s="562" t="s">
        <v>540</v>
      </c>
      <c r="K21" s="562"/>
      <c r="L21" s="406" t="s">
        <v>541</v>
      </c>
      <c r="M21" s="562" t="s">
        <v>450</v>
      </c>
      <c r="N21" s="562" t="s">
        <v>424</v>
      </c>
    </row>
    <row r="22" spans="1:14" ht="60">
      <c r="A22" s="406">
        <v>18</v>
      </c>
      <c r="B22" s="407" t="s">
        <v>542</v>
      </c>
      <c r="C22" s="415" t="s">
        <v>495</v>
      </c>
      <c r="D22" s="414" t="s">
        <v>460</v>
      </c>
      <c r="E22" s="414" t="s">
        <v>460</v>
      </c>
      <c r="F22" s="413" t="s">
        <v>543</v>
      </c>
      <c r="G22" s="561">
        <v>138</v>
      </c>
      <c r="H22" s="410" t="s">
        <v>544</v>
      </c>
      <c r="I22" s="408" t="s">
        <v>419</v>
      </c>
      <c r="J22" s="407" t="s">
        <v>545</v>
      </c>
      <c r="K22" s="411"/>
      <c r="L22" s="406" t="s">
        <v>546</v>
      </c>
      <c r="M22" s="407" t="s">
        <v>547</v>
      </c>
      <c r="N22" s="407" t="s">
        <v>424</v>
      </c>
    </row>
    <row r="23" spans="1:14" ht="60">
      <c r="A23" s="406">
        <v>19</v>
      </c>
      <c r="B23" s="411" t="s">
        <v>548</v>
      </c>
      <c r="C23" s="415" t="s">
        <v>495</v>
      </c>
      <c r="D23" s="414" t="s">
        <v>466</v>
      </c>
      <c r="E23" s="414" t="s">
        <v>466</v>
      </c>
      <c r="F23" s="413" t="s">
        <v>549</v>
      </c>
      <c r="G23" s="561">
        <v>138</v>
      </c>
      <c r="H23" s="410" t="s">
        <v>550</v>
      </c>
      <c r="I23" s="408" t="s">
        <v>419</v>
      </c>
      <c r="J23" s="407" t="s">
        <v>551</v>
      </c>
      <c r="K23" s="411"/>
      <c r="L23" s="406" t="s">
        <v>541</v>
      </c>
      <c r="M23" s="407" t="s">
        <v>450</v>
      </c>
      <c r="N23" s="407" t="s">
        <v>424</v>
      </c>
    </row>
    <row r="24" spans="1:14" ht="60">
      <c r="A24" s="406">
        <v>20</v>
      </c>
      <c r="B24" s="411" t="s">
        <v>552</v>
      </c>
      <c r="C24" s="413" t="s">
        <v>495</v>
      </c>
      <c r="D24" s="414" t="s">
        <v>553</v>
      </c>
      <c r="E24" s="414" t="s">
        <v>553</v>
      </c>
      <c r="F24" s="413" t="s">
        <v>554</v>
      </c>
      <c r="G24" s="561">
        <v>138</v>
      </c>
      <c r="H24" s="410" t="s">
        <v>555</v>
      </c>
      <c r="I24" s="408" t="s">
        <v>419</v>
      </c>
      <c r="J24" s="407" t="s">
        <v>556</v>
      </c>
      <c r="K24" s="362"/>
      <c r="L24" s="406" t="s">
        <v>541</v>
      </c>
      <c r="M24" s="407" t="s">
        <v>450</v>
      </c>
      <c r="N24" s="407" t="s">
        <v>424</v>
      </c>
    </row>
    <row r="25" spans="1:14" ht="60">
      <c r="A25" s="406">
        <v>21</v>
      </c>
      <c r="B25" s="562" t="s">
        <v>558</v>
      </c>
      <c r="C25" s="432" t="s">
        <v>559</v>
      </c>
      <c r="D25" s="563" t="s">
        <v>496</v>
      </c>
      <c r="E25" s="564"/>
      <c r="F25" s="565" t="s">
        <v>560</v>
      </c>
      <c r="G25" s="566">
        <v>138</v>
      </c>
      <c r="H25" s="434" t="s">
        <v>561</v>
      </c>
      <c r="I25" s="432" t="s">
        <v>430</v>
      </c>
      <c r="J25" s="562" t="s">
        <v>562</v>
      </c>
      <c r="K25" s="412" t="s">
        <v>449</v>
      </c>
      <c r="L25" s="406" t="s">
        <v>563</v>
      </c>
      <c r="M25" s="562" t="s">
        <v>433</v>
      </c>
      <c r="N25" s="562" t="s">
        <v>424</v>
      </c>
    </row>
    <row r="26" spans="1:14" ht="60">
      <c r="A26" s="406">
        <v>22</v>
      </c>
      <c r="B26" s="562" t="s">
        <v>564</v>
      </c>
      <c r="C26" s="432" t="s">
        <v>559</v>
      </c>
      <c r="D26" s="563" t="s">
        <v>496</v>
      </c>
      <c r="E26" s="564"/>
      <c r="F26" s="565" t="s">
        <v>565</v>
      </c>
      <c r="G26" s="566">
        <v>138</v>
      </c>
      <c r="H26" s="410" t="s">
        <v>566</v>
      </c>
      <c r="I26" s="413" t="s">
        <v>430</v>
      </c>
      <c r="J26" s="562" t="s">
        <v>567</v>
      </c>
      <c r="K26" s="412" t="s">
        <v>449</v>
      </c>
      <c r="L26" s="406" t="s">
        <v>563</v>
      </c>
      <c r="M26" s="562" t="s">
        <v>450</v>
      </c>
      <c r="N26" s="562" t="s">
        <v>424</v>
      </c>
    </row>
    <row r="27" spans="1:14" ht="60">
      <c r="A27" s="406">
        <v>23</v>
      </c>
      <c r="B27" s="407" t="s">
        <v>568</v>
      </c>
      <c r="C27" s="432" t="s">
        <v>559</v>
      </c>
      <c r="D27" s="414" t="s">
        <v>569</v>
      </c>
      <c r="E27" s="414" t="s">
        <v>569</v>
      </c>
      <c r="F27" s="413" t="s">
        <v>570</v>
      </c>
      <c r="G27" s="561">
        <v>138</v>
      </c>
      <c r="H27" s="410" t="s">
        <v>571</v>
      </c>
      <c r="I27" s="413" t="s">
        <v>430</v>
      </c>
      <c r="J27" s="407" t="s">
        <v>572</v>
      </c>
      <c r="K27" s="411"/>
      <c r="L27" s="406" t="s">
        <v>563</v>
      </c>
      <c r="M27" s="407" t="s">
        <v>433</v>
      </c>
      <c r="N27" s="407" t="s">
        <v>424</v>
      </c>
    </row>
    <row r="28" spans="1:14" ht="60">
      <c r="A28" s="406">
        <v>24</v>
      </c>
      <c r="B28" s="407" t="s">
        <v>573</v>
      </c>
      <c r="C28" s="413" t="s">
        <v>574</v>
      </c>
      <c r="D28" s="414" t="s">
        <v>575</v>
      </c>
      <c r="E28" s="414" t="s">
        <v>575</v>
      </c>
      <c r="F28" s="413" t="s">
        <v>576</v>
      </c>
      <c r="G28" s="561">
        <v>138</v>
      </c>
      <c r="H28" s="408" t="s">
        <v>577</v>
      </c>
      <c r="I28" s="408" t="s">
        <v>419</v>
      </c>
      <c r="J28" s="407" t="s">
        <v>578</v>
      </c>
      <c r="K28" s="362"/>
      <c r="L28" s="406" t="s">
        <v>563</v>
      </c>
      <c r="M28" s="407" t="s">
        <v>433</v>
      </c>
      <c r="N28" s="407" t="s">
        <v>424</v>
      </c>
    </row>
    <row r="29" spans="1:14" ht="75">
      <c r="A29" s="406">
        <v>25</v>
      </c>
      <c r="B29" s="406" t="s">
        <v>579</v>
      </c>
      <c r="C29" s="413" t="s">
        <v>580</v>
      </c>
      <c r="D29" s="414" t="s">
        <v>581</v>
      </c>
      <c r="E29" s="414" t="s">
        <v>581</v>
      </c>
      <c r="F29" s="413" t="s">
        <v>582</v>
      </c>
      <c r="G29" s="561">
        <v>138</v>
      </c>
      <c r="H29" s="410" t="s">
        <v>583</v>
      </c>
      <c r="I29" s="408" t="s">
        <v>419</v>
      </c>
      <c r="J29" s="406" t="s">
        <v>584</v>
      </c>
      <c r="K29" s="411"/>
      <c r="L29" s="406" t="s">
        <v>585</v>
      </c>
      <c r="M29" s="406" t="s">
        <v>586</v>
      </c>
      <c r="N29" s="407" t="s">
        <v>424</v>
      </c>
    </row>
    <row r="30" spans="1:14" ht="60">
      <c r="A30" s="406">
        <v>26</v>
      </c>
      <c r="B30" s="407" t="s">
        <v>587</v>
      </c>
      <c r="C30" s="413" t="s">
        <v>588</v>
      </c>
      <c r="D30" s="414" t="s">
        <v>466</v>
      </c>
      <c r="E30" s="414" t="s">
        <v>466</v>
      </c>
      <c r="F30" s="413" t="s">
        <v>589</v>
      </c>
      <c r="G30" s="561">
        <v>138</v>
      </c>
      <c r="H30" s="410" t="s">
        <v>590</v>
      </c>
      <c r="I30" s="408" t="s">
        <v>419</v>
      </c>
      <c r="J30" s="407" t="s">
        <v>591</v>
      </c>
      <c r="K30" s="411"/>
      <c r="L30" s="406" t="s">
        <v>585</v>
      </c>
      <c r="M30" s="407" t="s">
        <v>433</v>
      </c>
      <c r="N30" s="407" t="s">
        <v>424</v>
      </c>
    </row>
    <row r="31" spans="1:14" ht="60">
      <c r="A31" s="406">
        <v>27</v>
      </c>
      <c r="B31" s="407" t="s">
        <v>512</v>
      </c>
      <c r="C31" s="415" t="s">
        <v>588</v>
      </c>
      <c r="D31" s="414" t="s">
        <v>569</v>
      </c>
      <c r="E31" s="414" t="s">
        <v>569</v>
      </c>
      <c r="F31" s="413" t="s">
        <v>592</v>
      </c>
      <c r="G31" s="561">
        <v>138</v>
      </c>
      <c r="H31" s="408" t="s">
        <v>593</v>
      </c>
      <c r="I31" s="408" t="s">
        <v>419</v>
      </c>
      <c r="J31" s="407" t="s">
        <v>594</v>
      </c>
      <c r="K31" s="411"/>
      <c r="L31" s="406" t="s">
        <v>585</v>
      </c>
      <c r="M31" s="407" t="s">
        <v>433</v>
      </c>
      <c r="N31" s="407" t="s">
        <v>424</v>
      </c>
    </row>
    <row r="32" spans="1:14" ht="60">
      <c r="A32" s="406">
        <v>28</v>
      </c>
      <c r="B32" s="406" t="s">
        <v>595</v>
      </c>
      <c r="C32" s="413" t="s">
        <v>588</v>
      </c>
      <c r="D32" s="414" t="s">
        <v>519</v>
      </c>
      <c r="E32" s="414" t="s">
        <v>519</v>
      </c>
      <c r="F32" s="413" t="s">
        <v>596</v>
      </c>
      <c r="G32" s="561">
        <v>138</v>
      </c>
      <c r="H32" s="410" t="s">
        <v>597</v>
      </c>
      <c r="I32" s="408" t="s">
        <v>419</v>
      </c>
      <c r="J32" s="406" t="s">
        <v>598</v>
      </c>
      <c r="K32" s="411"/>
      <c r="L32" s="406" t="s">
        <v>585</v>
      </c>
      <c r="M32" s="407" t="s">
        <v>433</v>
      </c>
      <c r="N32" s="407" t="s">
        <v>424</v>
      </c>
    </row>
    <row r="33" spans="1:14" ht="75">
      <c r="A33" s="406">
        <v>29</v>
      </c>
      <c r="B33" s="406" t="s">
        <v>599</v>
      </c>
      <c r="C33" s="415" t="s">
        <v>600</v>
      </c>
      <c r="D33" s="414" t="s">
        <v>460</v>
      </c>
      <c r="E33" s="414" t="s">
        <v>460</v>
      </c>
      <c r="F33" s="413" t="s">
        <v>601</v>
      </c>
      <c r="G33" s="561">
        <v>138</v>
      </c>
      <c r="H33" s="410" t="s">
        <v>602</v>
      </c>
      <c r="I33" s="408" t="s">
        <v>603</v>
      </c>
      <c r="J33" s="406" t="s">
        <v>604</v>
      </c>
      <c r="K33" s="362"/>
      <c r="L33" s="406" t="s">
        <v>493</v>
      </c>
      <c r="M33" s="406" t="s">
        <v>586</v>
      </c>
      <c r="N33" s="407" t="s">
        <v>424</v>
      </c>
    </row>
    <row r="34" spans="1:14" ht="60">
      <c r="A34" s="406">
        <v>30</v>
      </c>
      <c r="B34" s="406" t="s">
        <v>605</v>
      </c>
      <c r="C34" s="413" t="s">
        <v>606</v>
      </c>
      <c r="D34" s="409" t="s">
        <v>466</v>
      </c>
      <c r="E34" s="409" t="s">
        <v>466</v>
      </c>
      <c r="F34" s="410" t="s">
        <v>607</v>
      </c>
      <c r="G34" s="561">
        <v>138</v>
      </c>
      <c r="H34" s="410" t="s">
        <v>608</v>
      </c>
      <c r="I34" s="408" t="s">
        <v>419</v>
      </c>
      <c r="J34" s="406" t="s">
        <v>609</v>
      </c>
      <c r="K34" s="411"/>
      <c r="L34" s="406" t="s">
        <v>493</v>
      </c>
      <c r="M34" s="407" t="s">
        <v>433</v>
      </c>
      <c r="N34" s="407" t="s">
        <v>424</v>
      </c>
    </row>
    <row r="35" spans="1:14" ht="60">
      <c r="A35" s="406">
        <v>31</v>
      </c>
      <c r="B35" s="406" t="s">
        <v>610</v>
      </c>
      <c r="C35" s="413" t="s">
        <v>611</v>
      </c>
      <c r="D35" s="414" t="s">
        <v>519</v>
      </c>
      <c r="E35" s="414" t="s">
        <v>519</v>
      </c>
      <c r="F35" s="413" t="s">
        <v>612</v>
      </c>
      <c r="G35" s="561">
        <v>138</v>
      </c>
      <c r="H35" s="410" t="s">
        <v>613</v>
      </c>
      <c r="I35" s="408" t="s">
        <v>419</v>
      </c>
      <c r="J35" s="406" t="s">
        <v>614</v>
      </c>
      <c r="K35" s="362"/>
      <c r="L35" s="406" t="s">
        <v>432</v>
      </c>
      <c r="M35" s="407" t="s">
        <v>450</v>
      </c>
      <c r="N35" s="407" t="s">
        <v>424</v>
      </c>
    </row>
    <row r="36" spans="1:14" ht="60">
      <c r="A36" s="406">
        <v>32</v>
      </c>
      <c r="B36" s="562" t="s">
        <v>615</v>
      </c>
      <c r="C36" s="415" t="s">
        <v>616</v>
      </c>
      <c r="D36" s="563" t="s">
        <v>617</v>
      </c>
      <c r="E36" s="573"/>
      <c r="F36" s="565" t="s">
        <v>618</v>
      </c>
      <c r="G36" s="566">
        <v>138</v>
      </c>
      <c r="H36" s="410" t="s">
        <v>619</v>
      </c>
      <c r="I36" s="408" t="s">
        <v>419</v>
      </c>
      <c r="J36" s="562" t="s">
        <v>620</v>
      </c>
      <c r="K36" s="562"/>
      <c r="L36" s="406" t="s">
        <v>432</v>
      </c>
      <c r="M36" s="562" t="s">
        <v>433</v>
      </c>
      <c r="N36" s="562" t="s">
        <v>424</v>
      </c>
    </row>
    <row r="37" spans="1:14" ht="60">
      <c r="A37" s="406">
        <v>33</v>
      </c>
      <c r="B37" s="406" t="s">
        <v>621</v>
      </c>
      <c r="C37" s="418" t="s">
        <v>444</v>
      </c>
      <c r="D37" s="419" t="s">
        <v>475</v>
      </c>
      <c r="E37" s="419" t="s">
        <v>475</v>
      </c>
      <c r="F37" s="417" t="s">
        <v>622</v>
      </c>
      <c r="G37" s="561">
        <v>138</v>
      </c>
      <c r="H37" s="411" t="s">
        <v>623</v>
      </c>
      <c r="I37" s="362" t="s">
        <v>419</v>
      </c>
      <c r="J37" s="426" t="s">
        <v>624</v>
      </c>
      <c r="K37" s="362"/>
      <c r="L37" s="406" t="s">
        <v>432</v>
      </c>
      <c r="M37" s="407" t="s">
        <v>423</v>
      </c>
      <c r="N37" s="407" t="s">
        <v>424</v>
      </c>
    </row>
    <row r="38" spans="1:14" ht="95.25" customHeight="1">
      <c r="A38" s="406">
        <v>34</v>
      </c>
      <c r="B38" s="423" t="s">
        <v>625</v>
      </c>
      <c r="C38" s="415" t="s">
        <v>444</v>
      </c>
      <c r="D38" s="414" t="s">
        <v>626</v>
      </c>
      <c r="E38" s="414" t="s">
        <v>626</v>
      </c>
      <c r="F38" s="415" t="s">
        <v>627</v>
      </c>
      <c r="G38" s="561">
        <v>138</v>
      </c>
      <c r="H38" s="408" t="s">
        <v>628</v>
      </c>
      <c r="I38" s="408" t="s">
        <v>629</v>
      </c>
      <c r="J38" s="435">
        <v>65000</v>
      </c>
      <c r="K38" s="362"/>
      <c r="L38" s="429" t="s">
        <v>631</v>
      </c>
      <c r="M38" s="423" t="s">
        <v>632</v>
      </c>
      <c r="N38" s="423" t="s">
        <v>633</v>
      </c>
    </row>
    <row r="39" spans="1:14" ht="75">
      <c r="A39" s="406">
        <v>35</v>
      </c>
      <c r="B39" s="406" t="s">
        <v>634</v>
      </c>
      <c r="C39" s="418" t="s">
        <v>635</v>
      </c>
      <c r="D39" s="419" t="s">
        <v>460</v>
      </c>
      <c r="E39" s="419" t="s">
        <v>460</v>
      </c>
      <c r="F39" s="419" t="s">
        <v>636</v>
      </c>
      <c r="G39" s="561">
        <v>138</v>
      </c>
      <c r="H39" s="421" t="s">
        <v>637</v>
      </c>
      <c r="I39" s="362" t="s">
        <v>419</v>
      </c>
      <c r="J39" s="436" t="s">
        <v>638</v>
      </c>
      <c r="K39" s="411"/>
      <c r="L39" s="406" t="s">
        <v>432</v>
      </c>
      <c r="M39" s="407" t="s">
        <v>480</v>
      </c>
      <c r="N39" s="407" t="s">
        <v>424</v>
      </c>
    </row>
    <row r="40" spans="1:14" ht="75">
      <c r="A40" s="406">
        <v>36</v>
      </c>
      <c r="B40" s="406" t="s">
        <v>646</v>
      </c>
      <c r="C40" s="418" t="s">
        <v>647</v>
      </c>
      <c r="D40" s="414" t="s">
        <v>648</v>
      </c>
      <c r="E40" s="414" t="s">
        <v>648</v>
      </c>
      <c r="F40" s="413" t="s">
        <v>649</v>
      </c>
      <c r="G40" s="561">
        <v>138</v>
      </c>
      <c r="H40" s="410" t="s">
        <v>650</v>
      </c>
      <c r="I40" s="362" t="s">
        <v>419</v>
      </c>
      <c r="J40" s="436" t="s">
        <v>651</v>
      </c>
      <c r="K40" s="411"/>
      <c r="L40" s="406" t="s">
        <v>652</v>
      </c>
      <c r="M40" s="407" t="s">
        <v>480</v>
      </c>
      <c r="N40" s="407" t="s">
        <v>424</v>
      </c>
    </row>
    <row r="41" spans="1:14" ht="60">
      <c r="A41" s="406">
        <v>37</v>
      </c>
      <c r="B41" s="407" t="s">
        <v>653</v>
      </c>
      <c r="C41" s="413" t="s">
        <v>654</v>
      </c>
      <c r="D41" s="414" t="s">
        <v>655</v>
      </c>
      <c r="E41" s="414" t="s">
        <v>655</v>
      </c>
      <c r="F41" s="413" t="s">
        <v>656</v>
      </c>
      <c r="G41" s="561">
        <v>138</v>
      </c>
      <c r="H41" s="410" t="s">
        <v>657</v>
      </c>
      <c r="I41" s="408" t="s">
        <v>419</v>
      </c>
      <c r="J41" s="407" t="s">
        <v>658</v>
      </c>
      <c r="K41" s="362"/>
      <c r="L41" s="406" t="s">
        <v>652</v>
      </c>
      <c r="M41" s="407" t="s">
        <v>547</v>
      </c>
      <c r="N41" s="407" t="s">
        <v>424</v>
      </c>
    </row>
    <row r="42" spans="1:14" ht="60">
      <c r="A42" s="406">
        <v>38</v>
      </c>
      <c r="B42" s="562" t="s">
        <v>659</v>
      </c>
      <c r="C42" s="413" t="s">
        <v>654</v>
      </c>
      <c r="D42" s="563" t="s">
        <v>660</v>
      </c>
      <c r="E42" s="564"/>
      <c r="F42" s="565" t="s">
        <v>661</v>
      </c>
      <c r="G42" s="566">
        <v>138</v>
      </c>
      <c r="H42" s="410" t="s">
        <v>662</v>
      </c>
      <c r="I42" s="408" t="s">
        <v>419</v>
      </c>
      <c r="J42" s="562" t="s">
        <v>663</v>
      </c>
      <c r="K42" s="412" t="s">
        <v>486</v>
      </c>
      <c r="L42" s="406" t="s">
        <v>664</v>
      </c>
      <c r="M42" s="562" t="s">
        <v>450</v>
      </c>
      <c r="N42" s="562" t="s">
        <v>424</v>
      </c>
    </row>
    <row r="43" spans="1:14" ht="60">
      <c r="A43" s="406">
        <v>39</v>
      </c>
      <c r="B43" s="562" t="s">
        <v>665</v>
      </c>
      <c r="C43" s="413" t="s">
        <v>654</v>
      </c>
      <c r="D43" s="563" t="s">
        <v>666</v>
      </c>
      <c r="E43" s="564"/>
      <c r="F43" s="565" t="s">
        <v>667</v>
      </c>
      <c r="G43" s="566">
        <v>138</v>
      </c>
      <c r="H43" s="410" t="s">
        <v>668</v>
      </c>
      <c r="I43" s="408" t="s">
        <v>419</v>
      </c>
      <c r="J43" s="562" t="s">
        <v>669</v>
      </c>
      <c r="K43" s="412" t="s">
        <v>449</v>
      </c>
      <c r="L43" s="406" t="s">
        <v>664</v>
      </c>
      <c r="M43" s="562" t="s">
        <v>450</v>
      </c>
      <c r="N43" s="562" t="s">
        <v>424</v>
      </c>
    </row>
    <row r="44" spans="1:14" ht="60">
      <c r="A44" s="406">
        <v>40</v>
      </c>
      <c r="B44" s="407" t="s">
        <v>670</v>
      </c>
      <c r="C44" s="415" t="s">
        <v>654</v>
      </c>
      <c r="D44" s="414" t="s">
        <v>460</v>
      </c>
      <c r="E44" s="414" t="s">
        <v>460</v>
      </c>
      <c r="F44" s="413" t="s">
        <v>671</v>
      </c>
      <c r="G44" s="561">
        <v>138</v>
      </c>
      <c r="H44" s="410" t="s">
        <v>672</v>
      </c>
      <c r="I44" s="408" t="s">
        <v>419</v>
      </c>
      <c r="J44" s="407" t="s">
        <v>673</v>
      </c>
      <c r="K44" s="362"/>
      <c r="L44" s="406" t="s">
        <v>664</v>
      </c>
      <c r="M44" s="407" t="s">
        <v>450</v>
      </c>
      <c r="N44" s="407" t="s">
        <v>424</v>
      </c>
    </row>
    <row r="45" spans="1:14" ht="60">
      <c r="A45" s="406">
        <v>41</v>
      </c>
      <c r="B45" s="407" t="s">
        <v>674</v>
      </c>
      <c r="C45" s="413" t="s">
        <v>654</v>
      </c>
      <c r="D45" s="414" t="s">
        <v>460</v>
      </c>
      <c r="E45" s="414" t="s">
        <v>460</v>
      </c>
      <c r="F45" s="413" t="s">
        <v>675</v>
      </c>
      <c r="G45" s="561">
        <v>138</v>
      </c>
      <c r="H45" s="410" t="s">
        <v>676</v>
      </c>
      <c r="I45" s="408" t="s">
        <v>419</v>
      </c>
      <c r="J45" s="407" t="s">
        <v>677</v>
      </c>
      <c r="K45" s="362"/>
      <c r="L45" s="406" t="s">
        <v>479</v>
      </c>
      <c r="M45" s="407" t="s">
        <v>450</v>
      </c>
      <c r="N45" s="407" t="s">
        <v>424</v>
      </c>
    </row>
    <row r="46" spans="1:14" ht="60">
      <c r="A46" s="406">
        <v>42</v>
      </c>
      <c r="B46" s="407" t="s">
        <v>678</v>
      </c>
      <c r="C46" s="413" t="s">
        <v>654</v>
      </c>
      <c r="D46" s="414" t="s">
        <v>666</v>
      </c>
      <c r="E46" s="414" t="s">
        <v>666</v>
      </c>
      <c r="F46" s="413" t="s">
        <v>679</v>
      </c>
      <c r="G46" s="561">
        <v>138</v>
      </c>
      <c r="H46" s="410" t="s">
        <v>680</v>
      </c>
      <c r="I46" s="408" t="s">
        <v>419</v>
      </c>
      <c r="J46" s="407" t="s">
        <v>681</v>
      </c>
      <c r="K46" s="362"/>
      <c r="L46" s="406" t="s">
        <v>479</v>
      </c>
      <c r="M46" s="407" t="s">
        <v>433</v>
      </c>
      <c r="N46" s="407" t="s">
        <v>424</v>
      </c>
    </row>
    <row r="47" spans="1:14" ht="60">
      <c r="A47" s="406">
        <v>43</v>
      </c>
      <c r="B47" s="407" t="s">
        <v>682</v>
      </c>
      <c r="C47" s="413" t="s">
        <v>654</v>
      </c>
      <c r="D47" s="414" t="s">
        <v>460</v>
      </c>
      <c r="E47" s="414" t="s">
        <v>460</v>
      </c>
      <c r="F47" s="413" t="s">
        <v>683</v>
      </c>
      <c r="G47" s="561">
        <v>138</v>
      </c>
      <c r="H47" s="410" t="s">
        <v>684</v>
      </c>
      <c r="I47" s="408" t="s">
        <v>419</v>
      </c>
      <c r="J47" s="407" t="s">
        <v>685</v>
      </c>
      <c r="K47" s="362"/>
      <c r="L47" s="406" t="s">
        <v>479</v>
      </c>
      <c r="M47" s="407" t="s">
        <v>433</v>
      </c>
      <c r="N47" s="407" t="s">
        <v>424</v>
      </c>
    </row>
    <row r="48" spans="1:14" ht="60">
      <c r="A48" s="406">
        <v>44</v>
      </c>
      <c r="B48" s="407" t="s">
        <v>682</v>
      </c>
      <c r="C48" s="413" t="s">
        <v>654</v>
      </c>
      <c r="D48" s="414" t="s">
        <v>553</v>
      </c>
      <c r="E48" s="414" t="s">
        <v>553</v>
      </c>
      <c r="F48" s="413" t="s">
        <v>686</v>
      </c>
      <c r="G48" s="561">
        <v>138</v>
      </c>
      <c r="H48" s="410" t="s">
        <v>687</v>
      </c>
      <c r="I48" s="408" t="s">
        <v>419</v>
      </c>
      <c r="J48" s="407" t="s">
        <v>688</v>
      </c>
      <c r="K48" s="411"/>
      <c r="L48" s="406" t="s">
        <v>479</v>
      </c>
      <c r="M48" s="407" t="s">
        <v>547</v>
      </c>
      <c r="N48" s="407" t="s">
        <v>424</v>
      </c>
    </row>
    <row r="49" spans="1:14" ht="60">
      <c r="A49" s="406">
        <v>45</v>
      </c>
      <c r="B49" s="407" t="s">
        <v>701</v>
      </c>
      <c r="C49" s="413" t="s">
        <v>474</v>
      </c>
      <c r="D49" s="414" t="s">
        <v>416</v>
      </c>
      <c r="E49" s="414" t="s">
        <v>416</v>
      </c>
      <c r="F49" s="413" t="s">
        <v>702</v>
      </c>
      <c r="G49" s="561">
        <v>138</v>
      </c>
      <c r="H49" s="410" t="s">
        <v>703</v>
      </c>
      <c r="I49" s="408" t="s">
        <v>419</v>
      </c>
      <c r="J49" s="407" t="s">
        <v>704</v>
      </c>
      <c r="K49" s="411"/>
      <c r="L49" s="406" t="s">
        <v>479</v>
      </c>
      <c r="M49" s="407" t="s">
        <v>450</v>
      </c>
      <c r="N49" s="407" t="s">
        <v>424</v>
      </c>
    </row>
    <row r="50" spans="1:14" ht="60">
      <c r="A50" s="406">
        <v>46</v>
      </c>
      <c r="B50" s="406" t="s">
        <v>705</v>
      </c>
      <c r="C50" s="413" t="s">
        <v>474</v>
      </c>
      <c r="D50" s="414" t="s">
        <v>416</v>
      </c>
      <c r="E50" s="414" t="s">
        <v>416</v>
      </c>
      <c r="F50" s="413" t="s">
        <v>706</v>
      </c>
      <c r="G50" s="561">
        <v>138</v>
      </c>
      <c r="H50" s="410" t="s">
        <v>707</v>
      </c>
      <c r="I50" s="408" t="s">
        <v>419</v>
      </c>
      <c r="J50" s="431" t="s">
        <v>708</v>
      </c>
      <c r="K50" s="411"/>
      <c r="L50" s="406" t="s">
        <v>479</v>
      </c>
      <c r="M50" s="407" t="s">
        <v>450</v>
      </c>
      <c r="N50" s="407" t="s">
        <v>424</v>
      </c>
    </row>
    <row r="51" spans="1:14" ht="75">
      <c r="A51" s="406">
        <v>47</v>
      </c>
      <c r="B51" s="406" t="s">
        <v>709</v>
      </c>
      <c r="C51" s="413" t="s">
        <v>710</v>
      </c>
      <c r="D51" s="414" t="s">
        <v>460</v>
      </c>
      <c r="E51" s="414" t="s">
        <v>460</v>
      </c>
      <c r="F51" s="413" t="s">
        <v>711</v>
      </c>
      <c r="G51" s="561">
        <v>138</v>
      </c>
      <c r="H51" s="410" t="s">
        <v>712</v>
      </c>
      <c r="I51" s="408" t="s">
        <v>419</v>
      </c>
      <c r="J51" s="427">
        <v>66731.78</v>
      </c>
      <c r="K51" s="362"/>
      <c r="L51" s="406" t="s">
        <v>664</v>
      </c>
      <c r="M51" s="406" t="s">
        <v>586</v>
      </c>
      <c r="N51" s="407" t="s">
        <v>424</v>
      </c>
    </row>
    <row r="52" spans="1:14" ht="60">
      <c r="A52" s="406">
        <v>48</v>
      </c>
      <c r="B52" s="406" t="s">
        <v>713</v>
      </c>
      <c r="C52" s="413" t="s">
        <v>710</v>
      </c>
      <c r="D52" s="414" t="s">
        <v>714</v>
      </c>
      <c r="E52" s="414" t="s">
        <v>714</v>
      </c>
      <c r="F52" s="413" t="s">
        <v>715</v>
      </c>
      <c r="G52" s="561">
        <v>138</v>
      </c>
      <c r="H52" s="421" t="s">
        <v>716</v>
      </c>
      <c r="I52" s="408" t="s">
        <v>419</v>
      </c>
      <c r="J52" s="406" t="s">
        <v>717</v>
      </c>
      <c r="K52" s="362"/>
      <c r="L52" s="406" t="s">
        <v>718</v>
      </c>
      <c r="M52" s="406" t="s">
        <v>719</v>
      </c>
      <c r="N52" s="407" t="s">
        <v>424</v>
      </c>
    </row>
    <row r="53" spans="1:14" ht="60">
      <c r="A53" s="406">
        <v>49</v>
      </c>
      <c r="B53" s="406" t="s">
        <v>720</v>
      </c>
      <c r="C53" s="418" t="s">
        <v>710</v>
      </c>
      <c r="D53" s="419" t="s">
        <v>721</v>
      </c>
      <c r="E53" s="419" t="s">
        <v>721</v>
      </c>
      <c r="F53" s="420" t="s">
        <v>722</v>
      </c>
      <c r="G53" s="561">
        <v>138</v>
      </c>
      <c r="H53" s="421" t="s">
        <v>723</v>
      </c>
      <c r="I53" s="362" t="s">
        <v>419</v>
      </c>
      <c r="J53" s="426" t="s">
        <v>724</v>
      </c>
      <c r="K53" s="362"/>
      <c r="L53" s="406" t="s">
        <v>726</v>
      </c>
      <c r="M53" s="406" t="s">
        <v>727</v>
      </c>
      <c r="N53" s="407" t="s">
        <v>424</v>
      </c>
    </row>
    <row r="54" spans="1:14" ht="60">
      <c r="A54" s="406">
        <v>50</v>
      </c>
      <c r="B54" s="562" t="s">
        <v>728</v>
      </c>
      <c r="C54" s="415" t="s">
        <v>729</v>
      </c>
      <c r="D54" s="563" t="s">
        <v>660</v>
      </c>
      <c r="E54" s="574"/>
      <c r="F54" s="575" t="s">
        <v>730</v>
      </c>
      <c r="G54" s="566">
        <v>138</v>
      </c>
      <c r="H54" s="410" t="s">
        <v>731</v>
      </c>
      <c r="I54" s="408" t="s">
        <v>419</v>
      </c>
      <c r="J54" s="562" t="s">
        <v>732</v>
      </c>
      <c r="K54" s="562"/>
      <c r="L54" s="406" t="s">
        <v>664</v>
      </c>
      <c r="M54" s="562" t="s">
        <v>547</v>
      </c>
      <c r="N54" s="562" t="s">
        <v>424</v>
      </c>
    </row>
    <row r="55" spans="1:14" ht="60">
      <c r="A55" s="406">
        <v>51</v>
      </c>
      <c r="B55" s="406" t="s">
        <v>733</v>
      </c>
      <c r="C55" s="413" t="s">
        <v>729</v>
      </c>
      <c r="D55" s="414" t="s">
        <v>734</v>
      </c>
      <c r="E55" s="414" t="s">
        <v>734</v>
      </c>
      <c r="F55" s="413" t="s">
        <v>735</v>
      </c>
      <c r="G55" s="561">
        <v>138</v>
      </c>
      <c r="H55" s="410" t="s">
        <v>736</v>
      </c>
      <c r="I55" s="408" t="s">
        <v>419</v>
      </c>
      <c r="J55" s="411" t="s">
        <v>737</v>
      </c>
      <c r="K55" s="362"/>
      <c r="L55" s="406" t="s">
        <v>493</v>
      </c>
      <c r="M55" s="407" t="s">
        <v>547</v>
      </c>
      <c r="N55" s="407" t="s">
        <v>424</v>
      </c>
    </row>
    <row r="56" spans="1:14" ht="81" customHeight="1">
      <c r="A56" s="406">
        <v>52</v>
      </c>
      <c r="B56" s="406" t="s">
        <v>738</v>
      </c>
      <c r="C56" s="425" t="s">
        <v>503</v>
      </c>
      <c r="D56" s="419" t="s">
        <v>739</v>
      </c>
      <c r="E56" s="419" t="s">
        <v>739</v>
      </c>
      <c r="F56" s="439" t="s">
        <v>740</v>
      </c>
      <c r="G56" s="561">
        <v>138</v>
      </c>
      <c r="H56" s="440" t="s">
        <v>741</v>
      </c>
      <c r="I56" s="362" t="s">
        <v>419</v>
      </c>
      <c r="J56" s="411" t="s">
        <v>742</v>
      </c>
      <c r="K56" s="411"/>
      <c r="L56" s="406" t="s">
        <v>493</v>
      </c>
      <c r="M56" s="423" t="s">
        <v>743</v>
      </c>
      <c r="N56" s="407" t="s">
        <v>424</v>
      </c>
    </row>
    <row r="57" spans="1:14" ht="75">
      <c r="A57" s="406">
        <v>53</v>
      </c>
      <c r="B57" s="406" t="s">
        <v>744</v>
      </c>
      <c r="C57" s="425" t="s">
        <v>503</v>
      </c>
      <c r="D57" s="419" t="s">
        <v>460</v>
      </c>
      <c r="E57" s="419" t="s">
        <v>460</v>
      </c>
      <c r="F57" s="411" t="s">
        <v>745</v>
      </c>
      <c r="G57" s="561">
        <v>138</v>
      </c>
      <c r="H57" s="440" t="s">
        <v>746</v>
      </c>
      <c r="I57" s="362" t="s">
        <v>419</v>
      </c>
      <c r="J57" s="426" t="s">
        <v>747</v>
      </c>
      <c r="K57" s="362"/>
      <c r="L57" s="406" t="s">
        <v>493</v>
      </c>
      <c r="M57" s="406" t="s">
        <v>586</v>
      </c>
      <c r="N57" s="407" t="s">
        <v>424</v>
      </c>
    </row>
    <row r="58" spans="1:14" ht="105">
      <c r="A58" s="406">
        <v>54</v>
      </c>
      <c r="B58" s="412" t="s">
        <v>748</v>
      </c>
      <c r="C58" s="415" t="s">
        <v>749</v>
      </c>
      <c r="D58" s="563" t="s">
        <v>750</v>
      </c>
      <c r="E58" s="568"/>
      <c r="F58" s="576" t="s">
        <v>751</v>
      </c>
      <c r="G58" s="566">
        <v>138</v>
      </c>
      <c r="H58" s="408" t="s">
        <v>752</v>
      </c>
      <c r="I58" s="415" t="s">
        <v>430</v>
      </c>
      <c r="J58" s="577" t="s">
        <v>753</v>
      </c>
      <c r="K58" s="562" t="s">
        <v>754</v>
      </c>
      <c r="L58" s="406" t="s">
        <v>755</v>
      </c>
      <c r="M58" s="562" t="s">
        <v>756</v>
      </c>
      <c r="N58" s="412" t="s">
        <v>633</v>
      </c>
    </row>
    <row r="59" spans="1:14" ht="60">
      <c r="A59" s="406">
        <v>55</v>
      </c>
      <c r="B59" s="406" t="s">
        <v>757</v>
      </c>
      <c r="C59" s="425" t="s">
        <v>749</v>
      </c>
      <c r="D59" s="419" t="s">
        <v>490</v>
      </c>
      <c r="E59" s="419" t="s">
        <v>490</v>
      </c>
      <c r="F59" s="439" t="s">
        <v>758</v>
      </c>
      <c r="G59" s="561">
        <v>138</v>
      </c>
      <c r="H59" s="440" t="s">
        <v>759</v>
      </c>
      <c r="I59" s="362" t="s">
        <v>419</v>
      </c>
      <c r="J59" s="427" t="s">
        <v>760</v>
      </c>
      <c r="K59" s="362"/>
      <c r="L59" s="406" t="s">
        <v>761</v>
      </c>
      <c r="M59" s="407" t="s">
        <v>433</v>
      </c>
      <c r="N59" s="407" t="s">
        <v>424</v>
      </c>
    </row>
    <row r="60" spans="1:14" ht="75.75" customHeight="1">
      <c r="A60" s="406">
        <v>56</v>
      </c>
      <c r="B60" s="406" t="s">
        <v>762</v>
      </c>
      <c r="C60" s="418" t="s">
        <v>749</v>
      </c>
      <c r="D60" s="419" t="s">
        <v>416</v>
      </c>
      <c r="E60" s="419" t="s">
        <v>416</v>
      </c>
      <c r="F60" s="439" t="s">
        <v>763</v>
      </c>
      <c r="G60" s="561">
        <v>138</v>
      </c>
      <c r="H60" s="440" t="s">
        <v>764</v>
      </c>
      <c r="I60" s="362" t="s">
        <v>419</v>
      </c>
      <c r="J60" s="436" t="s">
        <v>765</v>
      </c>
      <c r="K60" s="411"/>
      <c r="L60" s="406" t="s">
        <v>761</v>
      </c>
      <c r="M60" s="423" t="s">
        <v>743</v>
      </c>
      <c r="N60" s="407" t="s">
        <v>424</v>
      </c>
    </row>
    <row r="61" spans="1:14" ht="60">
      <c r="A61" s="406">
        <v>57</v>
      </c>
      <c r="B61" s="562" t="s">
        <v>766</v>
      </c>
      <c r="C61" s="418" t="s">
        <v>749</v>
      </c>
      <c r="D61" s="563" t="s">
        <v>504</v>
      </c>
      <c r="E61" s="564"/>
      <c r="F61" s="578" t="s">
        <v>767</v>
      </c>
      <c r="G61" s="566">
        <v>138</v>
      </c>
      <c r="H61" s="440" t="s">
        <v>768</v>
      </c>
      <c r="I61" s="362" t="s">
        <v>419</v>
      </c>
      <c r="J61" s="579" t="s">
        <v>769</v>
      </c>
      <c r="K61" s="412" t="s">
        <v>449</v>
      </c>
      <c r="L61" s="406" t="s">
        <v>761</v>
      </c>
      <c r="M61" s="562" t="s">
        <v>547</v>
      </c>
      <c r="N61" s="562" t="s">
        <v>424</v>
      </c>
    </row>
    <row r="62" spans="1:14" ht="79.5" customHeight="1">
      <c r="A62" s="406">
        <v>58</v>
      </c>
      <c r="B62" s="412" t="s">
        <v>770</v>
      </c>
      <c r="C62" s="418" t="s">
        <v>690</v>
      </c>
      <c r="D62" s="563" t="s">
        <v>771</v>
      </c>
      <c r="E62" s="573"/>
      <c r="F62" s="567" t="s">
        <v>772</v>
      </c>
      <c r="G62" s="566">
        <v>138</v>
      </c>
      <c r="H62" s="411" t="s">
        <v>773</v>
      </c>
      <c r="I62" s="362" t="s">
        <v>419</v>
      </c>
      <c r="J62" s="580" t="s">
        <v>774</v>
      </c>
      <c r="K62" s="562"/>
      <c r="L62" s="429" t="s">
        <v>775</v>
      </c>
      <c r="M62" s="412" t="s">
        <v>776</v>
      </c>
      <c r="N62" s="562" t="s">
        <v>424</v>
      </c>
    </row>
    <row r="63" spans="1:14" ht="60">
      <c r="A63" s="406">
        <v>59</v>
      </c>
      <c r="B63" s="406" t="s">
        <v>777</v>
      </c>
      <c r="C63" s="418" t="s">
        <v>690</v>
      </c>
      <c r="D63" s="419" t="s">
        <v>460</v>
      </c>
      <c r="E63" s="419" t="s">
        <v>460</v>
      </c>
      <c r="F63" s="417" t="s">
        <v>778</v>
      </c>
      <c r="G63" s="561">
        <v>138</v>
      </c>
      <c r="H63" s="411" t="s">
        <v>779</v>
      </c>
      <c r="I63" s="362" t="s">
        <v>419</v>
      </c>
      <c r="J63" s="426" t="s">
        <v>780</v>
      </c>
      <c r="K63" s="411"/>
      <c r="L63" s="406" t="s">
        <v>781</v>
      </c>
      <c r="M63" s="407" t="s">
        <v>433</v>
      </c>
      <c r="N63" s="407" t="s">
        <v>424</v>
      </c>
    </row>
    <row r="64" spans="1:14" ht="75">
      <c r="A64" s="406">
        <v>60</v>
      </c>
      <c r="B64" s="362" t="s">
        <v>782</v>
      </c>
      <c r="C64" s="418" t="s">
        <v>749</v>
      </c>
      <c r="D64" s="419" t="s">
        <v>453</v>
      </c>
      <c r="E64" s="419" t="s">
        <v>453</v>
      </c>
      <c r="F64" s="378" t="s">
        <v>783</v>
      </c>
      <c r="G64" s="561">
        <v>138</v>
      </c>
      <c r="H64" s="406" t="s">
        <v>784</v>
      </c>
      <c r="I64" s="362" t="s">
        <v>419</v>
      </c>
      <c r="J64" s="422" t="s">
        <v>785</v>
      </c>
      <c r="K64" s="362"/>
      <c r="L64" s="406" t="s">
        <v>787</v>
      </c>
      <c r="M64" s="362" t="s">
        <v>788</v>
      </c>
      <c r="N64" s="362" t="s">
        <v>633</v>
      </c>
    </row>
    <row r="65" spans="1:14" ht="60" hidden="1">
      <c r="A65" s="406">
        <v>61</v>
      </c>
      <c r="B65" s="412" t="s">
        <v>789</v>
      </c>
      <c r="C65" s="418" t="s">
        <v>503</v>
      </c>
      <c r="D65" s="563" t="s">
        <v>790</v>
      </c>
      <c r="E65" s="581"/>
      <c r="F65" s="578" t="s">
        <v>791</v>
      </c>
      <c r="G65" s="566">
        <v>138</v>
      </c>
      <c r="H65" s="440" t="s">
        <v>792</v>
      </c>
      <c r="I65" s="362" t="s">
        <v>419</v>
      </c>
      <c r="J65" s="562" t="s">
        <v>793</v>
      </c>
      <c r="K65" s="562"/>
      <c r="L65" s="406" t="s">
        <v>794</v>
      </c>
      <c r="M65" s="572"/>
      <c r="N65" s="562" t="s">
        <v>424</v>
      </c>
    </row>
    <row r="66" spans="1:14" ht="60" hidden="1">
      <c r="A66" s="406">
        <v>62</v>
      </c>
      <c r="B66" s="562" t="s">
        <v>795</v>
      </c>
      <c r="C66" s="425" t="s">
        <v>796</v>
      </c>
      <c r="D66" s="563" t="s">
        <v>660</v>
      </c>
      <c r="E66" s="581"/>
      <c r="F66" s="578" t="s">
        <v>797</v>
      </c>
      <c r="G66" s="566">
        <v>138</v>
      </c>
      <c r="H66" s="440" t="s">
        <v>798</v>
      </c>
      <c r="I66" s="362" t="s">
        <v>419</v>
      </c>
      <c r="J66" s="562" t="s">
        <v>799</v>
      </c>
      <c r="K66" s="412"/>
      <c r="L66" s="406" t="s">
        <v>800</v>
      </c>
      <c r="M66" s="572"/>
      <c r="N66" s="562" t="s">
        <v>424</v>
      </c>
    </row>
    <row r="67" spans="1:14" ht="75">
      <c r="A67" s="406">
        <v>63</v>
      </c>
      <c r="B67" s="429" t="s">
        <v>801</v>
      </c>
      <c r="C67" s="418" t="s">
        <v>749</v>
      </c>
      <c r="D67" s="419" t="s">
        <v>453</v>
      </c>
      <c r="E67" s="419" t="s">
        <v>453</v>
      </c>
      <c r="F67" s="378" t="s">
        <v>802</v>
      </c>
      <c r="G67" s="561">
        <v>138</v>
      </c>
      <c r="H67" s="443" t="s">
        <v>803</v>
      </c>
      <c r="I67" s="362" t="s">
        <v>419</v>
      </c>
      <c r="J67" s="362" t="s">
        <v>804</v>
      </c>
      <c r="K67" s="362"/>
      <c r="L67" s="429" t="s">
        <v>805</v>
      </c>
      <c r="M67" s="406" t="s">
        <v>788</v>
      </c>
      <c r="N67" s="362" t="s">
        <v>633</v>
      </c>
    </row>
    <row r="68" spans="1:14" ht="60">
      <c r="A68" s="406">
        <v>64</v>
      </c>
      <c r="B68" s="429" t="s">
        <v>806</v>
      </c>
      <c r="C68" s="418" t="s">
        <v>807</v>
      </c>
      <c r="D68" s="419" t="s">
        <v>808</v>
      </c>
      <c r="E68" s="419" t="s">
        <v>808</v>
      </c>
      <c r="F68" s="418" t="s">
        <v>809</v>
      </c>
      <c r="G68" s="561">
        <v>138</v>
      </c>
      <c r="H68" s="406" t="s">
        <v>810</v>
      </c>
      <c r="I68" s="417" t="s">
        <v>430</v>
      </c>
      <c r="J68" s="435">
        <v>50000</v>
      </c>
      <c r="K68" s="411"/>
      <c r="L68" s="406" t="s">
        <v>812</v>
      </c>
      <c r="M68" s="362" t="s">
        <v>788</v>
      </c>
      <c r="N68" s="362" t="s">
        <v>633</v>
      </c>
    </row>
    <row r="69" spans="1:14" ht="75">
      <c r="A69" s="406">
        <v>65</v>
      </c>
      <c r="B69" s="406" t="s">
        <v>813</v>
      </c>
      <c r="C69" s="418" t="s">
        <v>814</v>
      </c>
      <c r="D69" s="419" t="s">
        <v>453</v>
      </c>
      <c r="E69" s="419" t="s">
        <v>453</v>
      </c>
      <c r="F69" s="378" t="s">
        <v>815</v>
      </c>
      <c r="G69" s="561">
        <v>138</v>
      </c>
      <c r="H69" s="443" t="s">
        <v>816</v>
      </c>
      <c r="I69" s="362" t="s">
        <v>629</v>
      </c>
      <c r="J69" s="442" t="s">
        <v>817</v>
      </c>
      <c r="K69" s="362"/>
      <c r="L69" s="406" t="s">
        <v>818</v>
      </c>
      <c r="M69" s="406" t="s">
        <v>788</v>
      </c>
      <c r="N69" s="362" t="s">
        <v>633</v>
      </c>
    </row>
    <row r="70" spans="1:14" ht="75">
      <c r="A70" s="406">
        <v>66</v>
      </c>
      <c r="B70" s="429" t="s">
        <v>819</v>
      </c>
      <c r="C70" s="418" t="s">
        <v>820</v>
      </c>
      <c r="D70" s="419" t="s">
        <v>821</v>
      </c>
      <c r="E70" s="419" t="s">
        <v>821</v>
      </c>
      <c r="F70" s="378" t="s">
        <v>822</v>
      </c>
      <c r="G70" s="561">
        <v>138</v>
      </c>
      <c r="H70" s="443" t="s">
        <v>823</v>
      </c>
      <c r="I70" s="378" t="s">
        <v>499</v>
      </c>
      <c r="J70" s="362" t="s">
        <v>824</v>
      </c>
      <c r="K70" s="411"/>
      <c r="L70" s="429" t="s">
        <v>825</v>
      </c>
      <c r="M70" s="362" t="s">
        <v>788</v>
      </c>
      <c r="N70" s="362" t="s">
        <v>633</v>
      </c>
    </row>
    <row r="71" spans="1:14" ht="60">
      <c r="A71" s="406">
        <v>67</v>
      </c>
      <c r="B71" s="429" t="s">
        <v>826</v>
      </c>
      <c r="C71" s="418" t="s">
        <v>827</v>
      </c>
      <c r="D71" s="419" t="s">
        <v>553</v>
      </c>
      <c r="E71" s="419" t="s">
        <v>553</v>
      </c>
      <c r="F71" s="378"/>
      <c r="G71" s="561">
        <v>138</v>
      </c>
      <c r="H71" s="429" t="s">
        <v>828</v>
      </c>
      <c r="I71" s="378" t="s">
        <v>430</v>
      </c>
      <c r="J71" s="430">
        <v>70611</v>
      </c>
      <c r="K71" s="362"/>
      <c r="L71" s="406" t="s">
        <v>830</v>
      </c>
      <c r="M71" s="362" t="s">
        <v>831</v>
      </c>
      <c r="N71" s="362" t="s">
        <v>511</v>
      </c>
    </row>
    <row r="72" spans="1:14" ht="60">
      <c r="A72" s="406">
        <v>68</v>
      </c>
      <c r="B72" s="429" t="s">
        <v>826</v>
      </c>
      <c r="C72" s="418" t="s">
        <v>827</v>
      </c>
      <c r="D72" s="419" t="s">
        <v>553</v>
      </c>
      <c r="E72" s="419" t="s">
        <v>553</v>
      </c>
      <c r="F72" s="378" t="s">
        <v>832</v>
      </c>
      <c r="G72" s="561">
        <v>138</v>
      </c>
      <c r="H72" s="429" t="s">
        <v>833</v>
      </c>
      <c r="I72" s="362" t="s">
        <v>419</v>
      </c>
      <c r="J72" s="430" t="s">
        <v>834</v>
      </c>
      <c r="K72" s="362"/>
      <c r="L72" s="406" t="s">
        <v>835</v>
      </c>
      <c r="M72" s="362" t="s">
        <v>831</v>
      </c>
      <c r="N72" s="362" t="s">
        <v>511</v>
      </c>
    </row>
    <row r="73" spans="1:14" ht="95.25" customHeight="1">
      <c r="A73" s="406">
        <v>69</v>
      </c>
      <c r="B73" s="429" t="s">
        <v>806</v>
      </c>
      <c r="C73" s="418" t="s">
        <v>836</v>
      </c>
      <c r="D73" s="419" t="s">
        <v>808</v>
      </c>
      <c r="E73" s="419" t="s">
        <v>808</v>
      </c>
      <c r="F73" s="378" t="s">
        <v>837</v>
      </c>
      <c r="G73" s="561">
        <v>138</v>
      </c>
      <c r="H73" s="362" t="s">
        <v>838</v>
      </c>
      <c r="I73" s="362" t="s">
        <v>430</v>
      </c>
      <c r="J73" s="362" t="s">
        <v>839</v>
      </c>
      <c r="K73" s="411"/>
      <c r="L73" s="429" t="s">
        <v>840</v>
      </c>
      <c r="M73" s="406" t="s">
        <v>788</v>
      </c>
      <c r="N73" s="362" t="s">
        <v>633</v>
      </c>
    </row>
    <row r="74" spans="1:14" ht="86.25" customHeight="1">
      <c r="A74" s="406">
        <v>70</v>
      </c>
      <c r="B74" s="429" t="s">
        <v>841</v>
      </c>
      <c r="C74" s="418" t="s">
        <v>836</v>
      </c>
      <c r="D74" s="419" t="s">
        <v>808</v>
      </c>
      <c r="E74" s="419" t="s">
        <v>808</v>
      </c>
      <c r="F74" s="378" t="s">
        <v>842</v>
      </c>
      <c r="G74" s="561">
        <v>138</v>
      </c>
      <c r="H74" s="362" t="s">
        <v>843</v>
      </c>
      <c r="I74" s="362" t="s">
        <v>430</v>
      </c>
      <c r="J74" s="378" t="s">
        <v>844</v>
      </c>
      <c r="K74" s="411"/>
      <c r="L74" s="429" t="s">
        <v>845</v>
      </c>
      <c r="M74" s="406" t="s">
        <v>788</v>
      </c>
      <c r="N74" s="362" t="s">
        <v>633</v>
      </c>
    </row>
    <row r="75" spans="1:14" ht="60">
      <c r="A75" s="406">
        <v>71</v>
      </c>
      <c r="B75" s="429" t="s">
        <v>846</v>
      </c>
      <c r="C75" s="418" t="s">
        <v>606</v>
      </c>
      <c r="D75" s="409" t="s">
        <v>847</v>
      </c>
      <c r="E75" s="409" t="s">
        <v>847</v>
      </c>
      <c r="F75" s="408" t="s">
        <v>848</v>
      </c>
      <c r="G75" s="561">
        <v>138</v>
      </c>
      <c r="H75" s="408" t="s">
        <v>849</v>
      </c>
      <c r="I75" s="362" t="s">
        <v>629</v>
      </c>
      <c r="J75" s="378" t="s">
        <v>850</v>
      </c>
      <c r="K75" s="411"/>
      <c r="L75" s="411" t="s">
        <v>852</v>
      </c>
      <c r="M75" s="406" t="s">
        <v>853</v>
      </c>
      <c r="N75" s="417" t="s">
        <v>511</v>
      </c>
    </row>
    <row r="76" spans="1:14" ht="59.25" customHeight="1">
      <c r="A76" s="406">
        <v>72</v>
      </c>
      <c r="B76" s="562" t="s">
        <v>854</v>
      </c>
      <c r="C76" s="425" t="s">
        <v>465</v>
      </c>
      <c r="D76" s="582" t="s">
        <v>660</v>
      </c>
      <c r="E76" s="564"/>
      <c r="F76" s="583" t="s">
        <v>855</v>
      </c>
      <c r="G76" s="566">
        <v>138</v>
      </c>
      <c r="H76" s="445" t="s">
        <v>856</v>
      </c>
      <c r="I76" s="446" t="s">
        <v>419</v>
      </c>
      <c r="J76" s="579" t="s">
        <v>857</v>
      </c>
      <c r="K76" s="412" t="s">
        <v>421</v>
      </c>
      <c r="L76" s="406" t="s">
        <v>858</v>
      </c>
      <c r="M76" s="562" t="s">
        <v>859</v>
      </c>
      <c r="N76" s="567" t="s">
        <v>424</v>
      </c>
    </row>
    <row r="77" spans="1:14" ht="90">
      <c r="A77" s="406">
        <v>73</v>
      </c>
      <c r="B77" s="562" t="s">
        <v>860</v>
      </c>
      <c r="C77" s="418" t="s">
        <v>465</v>
      </c>
      <c r="D77" s="582" t="s">
        <v>660</v>
      </c>
      <c r="E77" s="564"/>
      <c r="F77" s="583" t="s">
        <v>861</v>
      </c>
      <c r="G77" s="566">
        <v>138</v>
      </c>
      <c r="H77" s="445" t="s">
        <v>862</v>
      </c>
      <c r="I77" s="408" t="s">
        <v>419</v>
      </c>
      <c r="J77" s="579">
        <v>588330.06999999995</v>
      </c>
      <c r="K77" s="412" t="s">
        <v>421</v>
      </c>
      <c r="L77" s="406" t="s">
        <v>863</v>
      </c>
      <c r="M77" s="562" t="s">
        <v>859</v>
      </c>
      <c r="N77" s="567" t="s">
        <v>424</v>
      </c>
    </row>
    <row r="78" spans="1:14" ht="90">
      <c r="A78" s="406">
        <v>74</v>
      </c>
      <c r="B78" s="406" t="s">
        <v>864</v>
      </c>
      <c r="C78" s="425" t="s">
        <v>465</v>
      </c>
      <c r="D78" s="444" t="s">
        <v>865</v>
      </c>
      <c r="E78" s="444" t="s">
        <v>865</v>
      </c>
      <c r="F78" s="445" t="s">
        <v>866</v>
      </c>
      <c r="G78" s="561">
        <v>138</v>
      </c>
      <c r="H78" s="445" t="s">
        <v>867</v>
      </c>
      <c r="I78" s="446" t="s">
        <v>419</v>
      </c>
      <c r="J78" s="447">
        <v>277074.40000000002</v>
      </c>
      <c r="K78" s="412"/>
      <c r="L78" s="406" t="s">
        <v>868</v>
      </c>
      <c r="M78" s="407" t="s">
        <v>859</v>
      </c>
      <c r="N78" s="431" t="s">
        <v>424</v>
      </c>
    </row>
    <row r="79" spans="1:14" ht="60">
      <c r="A79" s="406">
        <v>75</v>
      </c>
      <c r="B79" s="562" t="s">
        <v>869</v>
      </c>
      <c r="C79" s="418" t="s">
        <v>870</v>
      </c>
      <c r="D79" s="563" t="s">
        <v>871</v>
      </c>
      <c r="E79" s="564"/>
      <c r="F79" s="562" t="s">
        <v>872</v>
      </c>
      <c r="G79" s="566">
        <v>138</v>
      </c>
      <c r="H79" s="411" t="s">
        <v>873</v>
      </c>
      <c r="I79" s="362" t="s">
        <v>419</v>
      </c>
      <c r="J79" s="562" t="s">
        <v>874</v>
      </c>
      <c r="K79" s="412" t="s">
        <v>449</v>
      </c>
      <c r="L79" s="406" t="s">
        <v>875</v>
      </c>
      <c r="M79" s="562" t="s">
        <v>876</v>
      </c>
      <c r="N79" s="567" t="s">
        <v>424</v>
      </c>
    </row>
    <row r="80" spans="1:14" ht="75">
      <c r="A80" s="406">
        <v>76</v>
      </c>
      <c r="B80" s="562" t="s">
        <v>877</v>
      </c>
      <c r="C80" s="418" t="s">
        <v>878</v>
      </c>
      <c r="D80" s="563" t="s">
        <v>496</v>
      </c>
      <c r="E80" s="573"/>
      <c r="F80" s="578" t="s">
        <v>879</v>
      </c>
      <c r="G80" s="566">
        <v>138</v>
      </c>
      <c r="H80" s="440" t="s">
        <v>880</v>
      </c>
      <c r="I80" s="362" t="s">
        <v>419</v>
      </c>
      <c r="J80" s="584" t="s">
        <v>881</v>
      </c>
      <c r="K80" s="562"/>
      <c r="L80" s="406" t="s">
        <v>863</v>
      </c>
      <c r="M80" s="562" t="s">
        <v>882</v>
      </c>
      <c r="N80" s="567" t="s">
        <v>424</v>
      </c>
    </row>
    <row r="81" spans="1:14" ht="120">
      <c r="A81" s="406">
        <v>77</v>
      </c>
      <c r="B81" s="412" t="s">
        <v>889</v>
      </c>
      <c r="C81" s="418" t="s">
        <v>606</v>
      </c>
      <c r="D81" s="563" t="s">
        <v>890</v>
      </c>
      <c r="E81" s="573"/>
      <c r="F81" s="576" t="s">
        <v>891</v>
      </c>
      <c r="G81" s="566">
        <v>138</v>
      </c>
      <c r="H81" s="408" t="s">
        <v>892</v>
      </c>
      <c r="I81" s="362" t="s">
        <v>629</v>
      </c>
      <c r="J81" s="569" t="s">
        <v>893</v>
      </c>
      <c r="K81" s="412" t="s">
        <v>894</v>
      </c>
      <c r="L81" s="406" t="s">
        <v>895</v>
      </c>
      <c r="M81" s="562" t="s">
        <v>896</v>
      </c>
      <c r="N81" s="567" t="s">
        <v>472</v>
      </c>
    </row>
    <row r="82" spans="1:14" ht="66" customHeight="1">
      <c r="A82" s="406">
        <v>78</v>
      </c>
      <c r="B82" s="423" t="s">
        <v>897</v>
      </c>
      <c r="C82" s="418" t="s">
        <v>898</v>
      </c>
      <c r="D82" s="419" t="s">
        <v>648</v>
      </c>
      <c r="E82" s="419" t="s">
        <v>648</v>
      </c>
      <c r="F82" s="418" t="s">
        <v>899</v>
      </c>
      <c r="G82" s="561">
        <v>138</v>
      </c>
      <c r="H82" s="446" t="s">
        <v>900</v>
      </c>
      <c r="I82" s="419" t="s">
        <v>648</v>
      </c>
      <c r="J82" s="378" t="s">
        <v>902</v>
      </c>
      <c r="K82" s="362"/>
      <c r="L82" s="406" t="s">
        <v>904</v>
      </c>
      <c r="M82" s="406" t="s">
        <v>853</v>
      </c>
      <c r="N82" s="417" t="s">
        <v>511</v>
      </c>
    </row>
    <row r="83" spans="1:14" ht="67.5" customHeight="1">
      <c r="A83" s="406">
        <v>79</v>
      </c>
      <c r="B83" s="423" t="s">
        <v>897</v>
      </c>
      <c r="C83" s="418" t="s">
        <v>898</v>
      </c>
      <c r="D83" s="419" t="s">
        <v>648</v>
      </c>
      <c r="E83" s="419" t="s">
        <v>648</v>
      </c>
      <c r="F83" s="450" t="s">
        <v>905</v>
      </c>
      <c r="G83" s="561">
        <v>138</v>
      </c>
      <c r="H83" s="446" t="s">
        <v>906</v>
      </c>
      <c r="I83" s="378" t="s">
        <v>901</v>
      </c>
      <c r="J83" s="378" t="s">
        <v>907</v>
      </c>
      <c r="K83" s="362"/>
      <c r="L83" s="406" t="s">
        <v>904</v>
      </c>
      <c r="M83" s="406" t="s">
        <v>853</v>
      </c>
      <c r="N83" s="417" t="s">
        <v>511</v>
      </c>
    </row>
    <row r="84" spans="1:14" ht="64.5" customHeight="1">
      <c r="A84" s="406">
        <v>80</v>
      </c>
      <c r="B84" s="423" t="s">
        <v>897</v>
      </c>
      <c r="C84" s="418" t="s">
        <v>898</v>
      </c>
      <c r="D84" s="419" t="s">
        <v>648</v>
      </c>
      <c r="E84" s="419" t="s">
        <v>648</v>
      </c>
      <c r="F84" s="418" t="s">
        <v>908</v>
      </c>
      <c r="G84" s="561">
        <v>138</v>
      </c>
      <c r="H84" s="446" t="s">
        <v>909</v>
      </c>
      <c r="I84" s="378" t="s">
        <v>901</v>
      </c>
      <c r="J84" s="378" t="s">
        <v>910</v>
      </c>
      <c r="K84" s="362"/>
      <c r="L84" s="406" t="s">
        <v>904</v>
      </c>
      <c r="M84" s="406" t="s">
        <v>853</v>
      </c>
      <c r="N84" s="431" t="s">
        <v>511</v>
      </c>
    </row>
    <row r="85" spans="1:14" ht="75">
      <c r="A85" s="406">
        <v>81</v>
      </c>
      <c r="B85" s="429" t="s">
        <v>911</v>
      </c>
      <c r="C85" s="418" t="s">
        <v>898</v>
      </c>
      <c r="D85" s="419" t="s">
        <v>648</v>
      </c>
      <c r="E85" s="419" t="s">
        <v>648</v>
      </c>
      <c r="F85" s="418" t="s">
        <v>912</v>
      </c>
      <c r="G85" s="561">
        <v>138</v>
      </c>
      <c r="H85" s="446" t="s">
        <v>913</v>
      </c>
      <c r="I85" s="378" t="s">
        <v>901</v>
      </c>
      <c r="J85" s="378" t="s">
        <v>914</v>
      </c>
      <c r="K85" s="362"/>
      <c r="L85" s="406" t="s">
        <v>915</v>
      </c>
      <c r="M85" s="406" t="s">
        <v>853</v>
      </c>
      <c r="N85" s="417" t="s">
        <v>511</v>
      </c>
    </row>
    <row r="86" spans="1:14" ht="75">
      <c r="A86" s="406">
        <v>82</v>
      </c>
      <c r="B86" s="429" t="s">
        <v>911</v>
      </c>
      <c r="C86" s="418" t="s">
        <v>898</v>
      </c>
      <c r="D86" s="419" t="s">
        <v>648</v>
      </c>
      <c r="E86" s="419" t="s">
        <v>648</v>
      </c>
      <c r="F86" s="378" t="s">
        <v>916</v>
      </c>
      <c r="G86" s="561">
        <v>138</v>
      </c>
      <c r="H86" s="446" t="s">
        <v>917</v>
      </c>
      <c r="I86" s="378" t="s">
        <v>901</v>
      </c>
      <c r="J86" s="378" t="s">
        <v>918</v>
      </c>
      <c r="K86" s="362"/>
      <c r="L86" s="406" t="s">
        <v>904</v>
      </c>
      <c r="M86" s="406" t="s">
        <v>853</v>
      </c>
      <c r="N86" s="417" t="s">
        <v>511</v>
      </c>
    </row>
    <row r="87" spans="1:14" ht="75">
      <c r="A87" s="406">
        <v>83</v>
      </c>
      <c r="B87" s="429" t="s">
        <v>911</v>
      </c>
      <c r="C87" s="418" t="s">
        <v>898</v>
      </c>
      <c r="D87" s="419" t="s">
        <v>648</v>
      </c>
      <c r="E87" s="419" t="s">
        <v>648</v>
      </c>
      <c r="F87" s="378" t="s">
        <v>919</v>
      </c>
      <c r="G87" s="561">
        <v>138</v>
      </c>
      <c r="H87" s="446" t="s">
        <v>920</v>
      </c>
      <c r="I87" s="378" t="s">
        <v>901</v>
      </c>
      <c r="J87" s="378" t="s">
        <v>914</v>
      </c>
      <c r="K87" s="362"/>
      <c r="L87" s="406" t="s">
        <v>904</v>
      </c>
      <c r="M87" s="406" t="s">
        <v>853</v>
      </c>
      <c r="N87" s="417" t="s">
        <v>511</v>
      </c>
    </row>
    <row r="88" spans="1:14" ht="75">
      <c r="A88" s="406">
        <v>84</v>
      </c>
      <c r="B88" s="362" t="s">
        <v>921</v>
      </c>
      <c r="C88" s="418" t="s">
        <v>606</v>
      </c>
      <c r="D88" s="414" t="s">
        <v>666</v>
      </c>
      <c r="E88" s="414" t="s">
        <v>666</v>
      </c>
      <c r="F88" s="415" t="s">
        <v>922</v>
      </c>
      <c r="G88" s="561">
        <v>138</v>
      </c>
      <c r="H88" s="408" t="s">
        <v>923</v>
      </c>
      <c r="I88" s="362" t="s">
        <v>419</v>
      </c>
      <c r="J88" s="362" t="s">
        <v>924</v>
      </c>
      <c r="K88" s="411"/>
      <c r="L88" s="406" t="s">
        <v>925</v>
      </c>
      <c r="M88" s="406" t="s">
        <v>926</v>
      </c>
      <c r="N88" s="431" t="s">
        <v>511</v>
      </c>
    </row>
    <row r="89" spans="1:14" ht="75">
      <c r="A89" s="406">
        <v>85</v>
      </c>
      <c r="B89" s="362" t="s">
        <v>927</v>
      </c>
      <c r="C89" s="418" t="s">
        <v>606</v>
      </c>
      <c r="D89" s="414" t="s">
        <v>928</v>
      </c>
      <c r="E89" s="414" t="s">
        <v>928</v>
      </c>
      <c r="F89" s="415" t="s">
        <v>929</v>
      </c>
      <c r="G89" s="561">
        <v>138</v>
      </c>
      <c r="H89" s="408" t="s">
        <v>930</v>
      </c>
      <c r="I89" s="362" t="s">
        <v>419</v>
      </c>
      <c r="J89" s="378" t="s">
        <v>931</v>
      </c>
      <c r="K89" s="411"/>
      <c r="L89" s="406" t="s">
        <v>925</v>
      </c>
      <c r="M89" s="406" t="s">
        <v>926</v>
      </c>
      <c r="N89" s="431" t="s">
        <v>511</v>
      </c>
    </row>
    <row r="90" spans="1:14" ht="75">
      <c r="A90" s="406">
        <v>86</v>
      </c>
      <c r="B90" s="423" t="s">
        <v>933</v>
      </c>
      <c r="C90" s="418" t="s">
        <v>606</v>
      </c>
      <c r="D90" s="414" t="s">
        <v>666</v>
      </c>
      <c r="E90" s="414" t="s">
        <v>666</v>
      </c>
      <c r="F90" s="415" t="s">
        <v>934</v>
      </c>
      <c r="G90" s="561">
        <v>138</v>
      </c>
      <c r="H90" s="408" t="s">
        <v>935</v>
      </c>
      <c r="I90" s="362" t="s">
        <v>419</v>
      </c>
      <c r="J90" s="378" t="s">
        <v>936</v>
      </c>
      <c r="K90" s="411"/>
      <c r="L90" s="406" t="s">
        <v>937</v>
      </c>
      <c r="M90" s="406" t="s">
        <v>926</v>
      </c>
      <c r="N90" s="431" t="s">
        <v>511</v>
      </c>
    </row>
    <row r="91" spans="1:14" ht="60">
      <c r="A91" s="406">
        <v>87</v>
      </c>
      <c r="B91" s="423" t="s">
        <v>938</v>
      </c>
      <c r="C91" s="418" t="s">
        <v>606</v>
      </c>
      <c r="D91" s="419" t="s">
        <v>666</v>
      </c>
      <c r="E91" s="419" t="s">
        <v>666</v>
      </c>
      <c r="F91" s="378" t="s">
        <v>939</v>
      </c>
      <c r="G91" s="561">
        <v>138</v>
      </c>
      <c r="H91" s="406" t="s">
        <v>940</v>
      </c>
      <c r="I91" s="362" t="s">
        <v>419</v>
      </c>
      <c r="J91" s="378" t="s">
        <v>941</v>
      </c>
      <c r="K91" s="411"/>
      <c r="L91" s="406" t="s">
        <v>863</v>
      </c>
      <c r="M91" s="406" t="s">
        <v>926</v>
      </c>
      <c r="N91" s="431" t="s">
        <v>511</v>
      </c>
    </row>
    <row r="92" spans="1:14" ht="90">
      <c r="A92" s="406">
        <v>88</v>
      </c>
      <c r="B92" s="423" t="s">
        <v>625</v>
      </c>
      <c r="C92" s="418" t="s">
        <v>942</v>
      </c>
      <c r="D92" s="419" t="s">
        <v>943</v>
      </c>
      <c r="E92" s="419" t="s">
        <v>943</v>
      </c>
      <c r="F92" s="378" t="s">
        <v>944</v>
      </c>
      <c r="G92" s="561">
        <v>138</v>
      </c>
      <c r="H92" s="362" t="s">
        <v>945</v>
      </c>
      <c r="I92" s="362" t="s">
        <v>629</v>
      </c>
      <c r="J92" s="430">
        <v>65000</v>
      </c>
      <c r="K92" s="362"/>
      <c r="L92" s="406" t="s">
        <v>946</v>
      </c>
      <c r="M92" s="407" t="s">
        <v>947</v>
      </c>
      <c r="N92" s="362" t="s">
        <v>633</v>
      </c>
    </row>
    <row r="93" spans="1:14" ht="96.75" customHeight="1">
      <c r="A93" s="406">
        <v>89</v>
      </c>
      <c r="B93" s="362" t="s">
        <v>948</v>
      </c>
      <c r="C93" s="418" t="s">
        <v>949</v>
      </c>
      <c r="D93" s="419" t="s">
        <v>569</v>
      </c>
      <c r="E93" s="419" t="s">
        <v>569</v>
      </c>
      <c r="F93" s="378" t="s">
        <v>950</v>
      </c>
      <c r="G93" s="561">
        <v>138</v>
      </c>
      <c r="H93" s="362" t="s">
        <v>951</v>
      </c>
      <c r="I93" s="378" t="s">
        <v>430</v>
      </c>
      <c r="J93" s="362" t="s">
        <v>952</v>
      </c>
      <c r="K93" s="411"/>
      <c r="L93" s="429" t="s">
        <v>954</v>
      </c>
      <c r="M93" s="406" t="s">
        <v>955</v>
      </c>
      <c r="N93" s="362" t="s">
        <v>633</v>
      </c>
    </row>
    <row r="94" spans="1:14" ht="75">
      <c r="A94" s="406">
        <v>90</v>
      </c>
      <c r="B94" s="362" t="s">
        <v>964</v>
      </c>
      <c r="C94" s="418" t="s">
        <v>942</v>
      </c>
      <c r="D94" s="419" t="s">
        <v>943</v>
      </c>
      <c r="E94" s="419" t="s">
        <v>943</v>
      </c>
      <c r="F94" s="378" t="s">
        <v>965</v>
      </c>
      <c r="G94" s="561">
        <v>138</v>
      </c>
      <c r="H94" s="362" t="s">
        <v>966</v>
      </c>
      <c r="I94" s="362" t="s">
        <v>967</v>
      </c>
      <c r="J94" s="362" t="s">
        <v>968</v>
      </c>
      <c r="K94" s="362"/>
      <c r="L94" s="406" t="s">
        <v>970</v>
      </c>
      <c r="M94" s="406" t="s">
        <v>971</v>
      </c>
      <c r="N94" s="362" t="s">
        <v>633</v>
      </c>
    </row>
    <row r="95" spans="1:14" ht="60">
      <c r="A95" s="406">
        <v>91</v>
      </c>
      <c r="B95" s="362" t="s">
        <v>972</v>
      </c>
      <c r="C95" s="418" t="s">
        <v>942</v>
      </c>
      <c r="D95" s="419" t="s">
        <v>943</v>
      </c>
      <c r="E95" s="419" t="s">
        <v>943</v>
      </c>
      <c r="F95" s="378" t="s">
        <v>973</v>
      </c>
      <c r="G95" s="561">
        <v>138</v>
      </c>
      <c r="H95" s="362" t="s">
        <v>974</v>
      </c>
      <c r="I95" s="362" t="s">
        <v>967</v>
      </c>
      <c r="J95" s="424">
        <v>85972.7</v>
      </c>
      <c r="K95" s="362"/>
      <c r="L95" s="406" t="s">
        <v>975</v>
      </c>
      <c r="M95" s="406" t="s">
        <v>971</v>
      </c>
      <c r="N95" s="362" t="s">
        <v>633</v>
      </c>
    </row>
    <row r="96" spans="1:14" ht="90">
      <c r="A96" s="406">
        <v>92</v>
      </c>
      <c r="B96" s="362" t="s">
        <v>976</v>
      </c>
      <c r="C96" s="418" t="s">
        <v>957</v>
      </c>
      <c r="D96" s="419" t="s">
        <v>666</v>
      </c>
      <c r="E96" s="419" t="s">
        <v>666</v>
      </c>
      <c r="F96" s="378" t="s">
        <v>977</v>
      </c>
      <c r="G96" s="561">
        <v>138</v>
      </c>
      <c r="H96" s="362" t="s">
        <v>978</v>
      </c>
      <c r="I96" s="362" t="s">
        <v>419</v>
      </c>
      <c r="J96" s="362" t="s">
        <v>979</v>
      </c>
      <c r="K96" s="411"/>
      <c r="L96" s="429" t="s">
        <v>980</v>
      </c>
      <c r="M96" s="406" t="s">
        <v>981</v>
      </c>
      <c r="N96" s="362" t="s">
        <v>633</v>
      </c>
    </row>
    <row r="97" spans="1:14" ht="75" hidden="1">
      <c r="A97" s="406">
        <v>93</v>
      </c>
      <c r="B97" s="412" t="s">
        <v>982</v>
      </c>
      <c r="C97" s="418" t="s">
        <v>836</v>
      </c>
      <c r="D97" s="563" t="s">
        <v>750</v>
      </c>
      <c r="E97" s="581"/>
      <c r="F97" s="569" t="s">
        <v>983</v>
      </c>
      <c r="G97" s="566">
        <v>138</v>
      </c>
      <c r="H97" s="362" t="s">
        <v>984</v>
      </c>
      <c r="I97" s="362" t="s">
        <v>629</v>
      </c>
      <c r="J97" s="412" t="s">
        <v>985</v>
      </c>
      <c r="K97" s="412"/>
      <c r="L97" s="406" t="s">
        <v>987</v>
      </c>
      <c r="M97" s="585"/>
      <c r="N97" s="412" t="s">
        <v>511</v>
      </c>
    </row>
    <row r="98" spans="1:14" ht="75">
      <c r="A98" s="406">
        <v>94</v>
      </c>
      <c r="B98" s="412" t="s">
        <v>988</v>
      </c>
      <c r="C98" s="418" t="s">
        <v>989</v>
      </c>
      <c r="D98" s="582" t="s">
        <v>990</v>
      </c>
      <c r="E98" s="564"/>
      <c r="F98" s="412" t="s">
        <v>991</v>
      </c>
      <c r="G98" s="566">
        <v>138</v>
      </c>
      <c r="H98" s="362" t="s">
        <v>992</v>
      </c>
      <c r="I98" s="362" t="s">
        <v>629</v>
      </c>
      <c r="J98" s="569" t="s">
        <v>993</v>
      </c>
      <c r="K98" s="412" t="s">
        <v>994</v>
      </c>
      <c r="L98" s="406" t="s">
        <v>995</v>
      </c>
      <c r="M98" s="412" t="s">
        <v>996</v>
      </c>
      <c r="N98" s="412" t="s">
        <v>511</v>
      </c>
    </row>
    <row r="99" spans="1:14" ht="75" hidden="1">
      <c r="A99" s="406">
        <v>95</v>
      </c>
      <c r="B99" s="412" t="s">
        <v>982</v>
      </c>
      <c r="C99" s="418" t="s">
        <v>836</v>
      </c>
      <c r="D99" s="582" t="s">
        <v>750</v>
      </c>
      <c r="E99" s="571"/>
      <c r="F99" s="412" t="s">
        <v>997</v>
      </c>
      <c r="G99" s="566">
        <v>138</v>
      </c>
      <c r="H99" s="362" t="s">
        <v>998</v>
      </c>
      <c r="I99" s="362" t="s">
        <v>629</v>
      </c>
      <c r="J99" s="412" t="s">
        <v>999</v>
      </c>
      <c r="K99" s="412"/>
      <c r="L99" s="406" t="s">
        <v>987</v>
      </c>
      <c r="M99" s="585"/>
      <c r="N99" s="412" t="s">
        <v>511</v>
      </c>
    </row>
    <row r="100" spans="1:14" ht="60">
      <c r="A100" s="406">
        <v>96</v>
      </c>
      <c r="B100" s="362" t="s">
        <v>1000</v>
      </c>
      <c r="C100" s="418" t="s">
        <v>827</v>
      </c>
      <c r="D100" s="444" t="s">
        <v>553</v>
      </c>
      <c r="E100" s="444" t="s">
        <v>553</v>
      </c>
      <c r="F100" s="362" t="s">
        <v>1001</v>
      </c>
      <c r="G100" s="561">
        <v>138</v>
      </c>
      <c r="H100" s="362" t="s">
        <v>1002</v>
      </c>
      <c r="I100" s="362" t="s">
        <v>629</v>
      </c>
      <c r="J100" s="362" t="s">
        <v>1003</v>
      </c>
      <c r="K100" s="362"/>
      <c r="L100" s="406" t="s">
        <v>835</v>
      </c>
      <c r="M100" s="429" t="s">
        <v>831</v>
      </c>
      <c r="N100" s="362" t="s">
        <v>511</v>
      </c>
    </row>
    <row r="101" spans="1:14" ht="75">
      <c r="A101" s="406">
        <v>97</v>
      </c>
      <c r="B101" s="423" t="s">
        <v>1004</v>
      </c>
      <c r="C101" s="418" t="s">
        <v>1005</v>
      </c>
      <c r="D101" s="419" t="s">
        <v>1006</v>
      </c>
      <c r="E101" s="419" t="s">
        <v>1006</v>
      </c>
      <c r="F101" s="378" t="s">
        <v>1007</v>
      </c>
      <c r="G101" s="561">
        <v>138</v>
      </c>
      <c r="H101" s="362" t="s">
        <v>1008</v>
      </c>
      <c r="I101" s="362" t="s">
        <v>419</v>
      </c>
      <c r="J101" s="378" t="s">
        <v>1009</v>
      </c>
      <c r="K101" s="411"/>
      <c r="L101" s="406" t="s">
        <v>1011</v>
      </c>
      <c r="M101" s="406" t="s">
        <v>1012</v>
      </c>
      <c r="N101" s="362" t="s">
        <v>511</v>
      </c>
    </row>
    <row r="102" spans="1:14" ht="60">
      <c r="A102" s="406">
        <v>98</v>
      </c>
      <c r="B102" s="362" t="s">
        <v>1024</v>
      </c>
      <c r="C102" s="418" t="s">
        <v>796</v>
      </c>
      <c r="D102" s="419" t="s">
        <v>490</v>
      </c>
      <c r="E102" s="419" t="s">
        <v>490</v>
      </c>
      <c r="F102" s="452" t="s">
        <v>1025</v>
      </c>
      <c r="G102" s="561">
        <v>138</v>
      </c>
      <c r="H102" s="453" t="s">
        <v>1026</v>
      </c>
      <c r="I102" s="362" t="s">
        <v>419</v>
      </c>
      <c r="J102" s="378" t="s">
        <v>1027</v>
      </c>
      <c r="K102" s="362"/>
      <c r="L102" s="406" t="s">
        <v>863</v>
      </c>
      <c r="M102" s="406" t="s">
        <v>1028</v>
      </c>
      <c r="N102" s="406" t="s">
        <v>511</v>
      </c>
    </row>
    <row r="103" spans="1:14" ht="75">
      <c r="A103" s="406">
        <v>99</v>
      </c>
      <c r="B103" s="412" t="s">
        <v>1029</v>
      </c>
      <c r="C103" s="418" t="s">
        <v>1005</v>
      </c>
      <c r="D103" s="563" t="s">
        <v>1030</v>
      </c>
      <c r="E103" s="564"/>
      <c r="F103" s="586" t="s">
        <v>1031</v>
      </c>
      <c r="G103" s="566">
        <v>138</v>
      </c>
      <c r="H103" s="453" t="s">
        <v>1032</v>
      </c>
      <c r="I103" s="362" t="s">
        <v>419</v>
      </c>
      <c r="J103" s="569" t="s">
        <v>1033</v>
      </c>
      <c r="K103" s="412" t="s">
        <v>1010</v>
      </c>
      <c r="L103" s="406" t="s">
        <v>1034</v>
      </c>
      <c r="M103" s="562" t="s">
        <v>1035</v>
      </c>
      <c r="N103" s="562" t="s">
        <v>511</v>
      </c>
    </row>
    <row r="104" spans="1:14" ht="60" hidden="1">
      <c r="A104" s="406">
        <v>100</v>
      </c>
      <c r="B104" s="423" t="s">
        <v>1050</v>
      </c>
      <c r="C104" s="418" t="s">
        <v>1051</v>
      </c>
      <c r="D104" s="444" t="s">
        <v>1052</v>
      </c>
      <c r="E104" s="444" t="s">
        <v>1052</v>
      </c>
      <c r="F104" s="362" t="s">
        <v>1053</v>
      </c>
      <c r="G104" s="561">
        <v>138</v>
      </c>
      <c r="H104" s="362" t="s">
        <v>1054</v>
      </c>
      <c r="I104" s="362" t="s">
        <v>419</v>
      </c>
      <c r="J104" s="442" t="s">
        <v>1055</v>
      </c>
      <c r="K104" s="362"/>
      <c r="L104" s="406" t="s">
        <v>1056</v>
      </c>
      <c r="M104" s="406"/>
      <c r="N104" s="429" t="s">
        <v>511</v>
      </c>
    </row>
    <row r="105" spans="1:14" ht="94.5" customHeight="1">
      <c r="A105" s="406">
        <v>101</v>
      </c>
      <c r="B105" s="423" t="s">
        <v>1057</v>
      </c>
      <c r="C105" s="418" t="s">
        <v>1058</v>
      </c>
      <c r="D105" s="419" t="s">
        <v>1052</v>
      </c>
      <c r="E105" s="419" t="s">
        <v>1052</v>
      </c>
      <c r="F105" s="378" t="s">
        <v>1059</v>
      </c>
      <c r="G105" s="561">
        <v>138</v>
      </c>
      <c r="H105" s="362" t="s">
        <v>1060</v>
      </c>
      <c r="I105" s="362" t="s">
        <v>629</v>
      </c>
      <c r="J105" s="362" t="s">
        <v>1061</v>
      </c>
      <c r="K105" s="411"/>
      <c r="L105" s="406" t="s">
        <v>1063</v>
      </c>
      <c r="M105" s="429" t="s">
        <v>1064</v>
      </c>
      <c r="N105" s="406" t="s">
        <v>511</v>
      </c>
    </row>
    <row r="106" spans="1:14" ht="75">
      <c r="A106" s="406">
        <v>102</v>
      </c>
      <c r="B106" s="423" t="s">
        <v>1057</v>
      </c>
      <c r="C106" s="418" t="s">
        <v>1051</v>
      </c>
      <c r="D106" s="419" t="s">
        <v>1052</v>
      </c>
      <c r="E106" s="419" t="s">
        <v>1052</v>
      </c>
      <c r="F106" s="378" t="s">
        <v>1065</v>
      </c>
      <c r="G106" s="561">
        <v>138</v>
      </c>
      <c r="H106" s="362" t="s">
        <v>1066</v>
      </c>
      <c r="I106" s="362" t="s">
        <v>419</v>
      </c>
      <c r="J106" s="378" t="s">
        <v>1067</v>
      </c>
      <c r="K106" s="411"/>
      <c r="L106" s="406" t="s">
        <v>1068</v>
      </c>
      <c r="M106" s="429" t="s">
        <v>1064</v>
      </c>
      <c r="N106" s="429" t="s">
        <v>511</v>
      </c>
    </row>
    <row r="107" spans="1:14" ht="78.75" customHeight="1">
      <c r="A107" s="406">
        <v>103</v>
      </c>
      <c r="B107" s="423" t="s">
        <v>1050</v>
      </c>
      <c r="C107" s="418" t="s">
        <v>1058</v>
      </c>
      <c r="D107" s="419" t="s">
        <v>1052</v>
      </c>
      <c r="E107" s="419" t="s">
        <v>1052</v>
      </c>
      <c r="F107" s="378" t="s">
        <v>1069</v>
      </c>
      <c r="G107" s="561">
        <v>138</v>
      </c>
      <c r="H107" s="362" t="s">
        <v>1070</v>
      </c>
      <c r="I107" s="362" t="s">
        <v>629</v>
      </c>
      <c r="J107" s="442" t="s">
        <v>1071</v>
      </c>
      <c r="K107" s="411"/>
      <c r="L107" s="406" t="s">
        <v>1056</v>
      </c>
      <c r="M107" s="406" t="s">
        <v>1072</v>
      </c>
      <c r="N107" s="406" t="s">
        <v>511</v>
      </c>
    </row>
    <row r="108" spans="1:14" ht="75">
      <c r="A108" s="406">
        <v>104</v>
      </c>
      <c r="B108" s="423" t="s">
        <v>1029</v>
      </c>
      <c r="C108" s="418" t="s">
        <v>611</v>
      </c>
      <c r="D108" s="419" t="s">
        <v>1006</v>
      </c>
      <c r="E108" s="419" t="s">
        <v>1006</v>
      </c>
      <c r="F108" s="378" t="s">
        <v>1073</v>
      </c>
      <c r="G108" s="561">
        <v>138</v>
      </c>
      <c r="H108" s="362" t="s">
        <v>1074</v>
      </c>
      <c r="I108" s="362" t="s">
        <v>419</v>
      </c>
      <c r="J108" s="362" t="s">
        <v>1075</v>
      </c>
      <c r="K108" s="362"/>
      <c r="L108" s="406" t="s">
        <v>1076</v>
      </c>
      <c r="M108" s="406" t="s">
        <v>1035</v>
      </c>
      <c r="N108" s="406" t="s">
        <v>511</v>
      </c>
    </row>
    <row r="109" spans="1:14" ht="60">
      <c r="A109" s="406">
        <v>105</v>
      </c>
      <c r="B109" s="423" t="s">
        <v>1000</v>
      </c>
      <c r="C109" s="418" t="s">
        <v>827</v>
      </c>
      <c r="D109" s="419" t="s">
        <v>553</v>
      </c>
      <c r="E109" s="419" t="s">
        <v>553</v>
      </c>
      <c r="F109" s="378"/>
      <c r="G109" s="561">
        <v>138</v>
      </c>
      <c r="H109" s="362" t="s">
        <v>1077</v>
      </c>
      <c r="I109" s="378" t="s">
        <v>430</v>
      </c>
      <c r="J109" s="430">
        <v>49496</v>
      </c>
      <c r="K109" s="362"/>
      <c r="L109" s="406" t="s">
        <v>1078</v>
      </c>
      <c r="M109" s="429" t="s">
        <v>831</v>
      </c>
      <c r="N109" s="429" t="s">
        <v>511</v>
      </c>
    </row>
    <row r="110" spans="1:14" ht="90">
      <c r="A110" s="406">
        <v>106</v>
      </c>
      <c r="B110" s="412" t="s">
        <v>1079</v>
      </c>
      <c r="C110" s="418" t="s">
        <v>606</v>
      </c>
      <c r="D110" s="582" t="s">
        <v>871</v>
      </c>
      <c r="E110" s="587"/>
      <c r="F110" s="588" t="s">
        <v>1080</v>
      </c>
      <c r="G110" s="566">
        <v>138</v>
      </c>
      <c r="H110" s="408" t="s">
        <v>1081</v>
      </c>
      <c r="I110" s="362" t="s">
        <v>419</v>
      </c>
      <c r="J110" s="589" t="s">
        <v>1082</v>
      </c>
      <c r="K110" s="412" t="s">
        <v>1017</v>
      </c>
      <c r="L110" s="406" t="s">
        <v>1083</v>
      </c>
      <c r="M110" s="562" t="s">
        <v>1084</v>
      </c>
      <c r="N110" s="562" t="s">
        <v>511</v>
      </c>
    </row>
    <row r="111" spans="1:14" ht="94.5" customHeight="1">
      <c r="A111" s="406">
        <v>107</v>
      </c>
      <c r="B111" s="412" t="s">
        <v>1085</v>
      </c>
      <c r="C111" s="418" t="s">
        <v>503</v>
      </c>
      <c r="D111" s="563" t="s">
        <v>504</v>
      </c>
      <c r="E111" s="573"/>
      <c r="F111" s="569" t="s">
        <v>1086</v>
      </c>
      <c r="G111" s="566">
        <v>138</v>
      </c>
      <c r="H111" s="362" t="s">
        <v>1087</v>
      </c>
      <c r="I111" s="362" t="s">
        <v>430</v>
      </c>
      <c r="J111" s="570" t="s">
        <v>1088</v>
      </c>
      <c r="K111" s="412" t="s">
        <v>1017</v>
      </c>
      <c r="L111" s="406" t="s">
        <v>1089</v>
      </c>
      <c r="M111" s="562" t="s">
        <v>510</v>
      </c>
      <c r="N111" s="562" t="s">
        <v>511</v>
      </c>
    </row>
    <row r="112" spans="1:14" ht="75">
      <c r="A112" s="406">
        <v>108</v>
      </c>
      <c r="B112" s="412" t="s">
        <v>1090</v>
      </c>
      <c r="C112" s="418" t="s">
        <v>1091</v>
      </c>
      <c r="D112" s="582" t="s">
        <v>504</v>
      </c>
      <c r="E112" s="587"/>
      <c r="F112" s="412" t="s">
        <v>1092</v>
      </c>
      <c r="G112" s="566">
        <v>138</v>
      </c>
      <c r="H112" s="362" t="s">
        <v>1093</v>
      </c>
      <c r="I112" s="362" t="s">
        <v>629</v>
      </c>
      <c r="J112" s="570" t="s">
        <v>1094</v>
      </c>
      <c r="K112" s="412" t="s">
        <v>1017</v>
      </c>
      <c r="L112" s="406" t="s">
        <v>1095</v>
      </c>
      <c r="M112" s="562" t="s">
        <v>926</v>
      </c>
      <c r="N112" s="562" t="s">
        <v>511</v>
      </c>
    </row>
    <row r="113" spans="1:14" ht="75">
      <c r="A113" s="406">
        <v>109</v>
      </c>
      <c r="B113" s="362" t="s">
        <v>1096</v>
      </c>
      <c r="C113" s="418" t="s">
        <v>1091</v>
      </c>
      <c r="D113" s="444" t="s">
        <v>648</v>
      </c>
      <c r="E113" s="444" t="s">
        <v>648</v>
      </c>
      <c r="F113" s="362" t="s">
        <v>1097</v>
      </c>
      <c r="G113" s="561">
        <v>138</v>
      </c>
      <c r="H113" s="362" t="s">
        <v>1098</v>
      </c>
      <c r="I113" s="362" t="s">
        <v>419</v>
      </c>
      <c r="J113" s="362" t="s">
        <v>1099</v>
      </c>
      <c r="K113" s="362"/>
      <c r="L113" s="406" t="s">
        <v>1100</v>
      </c>
      <c r="M113" s="406" t="s">
        <v>926</v>
      </c>
      <c r="N113" s="406" t="s">
        <v>511</v>
      </c>
    </row>
    <row r="114" spans="1:14" ht="75">
      <c r="A114" s="406">
        <v>110</v>
      </c>
      <c r="B114" s="412" t="s">
        <v>1101</v>
      </c>
      <c r="C114" s="418" t="s">
        <v>1111</v>
      </c>
      <c r="D114" s="563" t="s">
        <v>504</v>
      </c>
      <c r="E114" s="573"/>
      <c r="F114" s="576" t="s">
        <v>1112</v>
      </c>
      <c r="G114" s="566">
        <v>138</v>
      </c>
      <c r="H114" s="408" t="s">
        <v>1113</v>
      </c>
      <c r="I114" s="362" t="s">
        <v>430</v>
      </c>
      <c r="J114" s="580" t="s">
        <v>1114</v>
      </c>
      <c r="K114" s="562" t="s">
        <v>508</v>
      </c>
      <c r="L114" s="406" t="s">
        <v>1100</v>
      </c>
      <c r="M114" s="562" t="s">
        <v>1110</v>
      </c>
      <c r="N114" s="562" t="s">
        <v>511</v>
      </c>
    </row>
    <row r="115" spans="1:14" ht="60" hidden="1">
      <c r="A115" s="406">
        <v>111</v>
      </c>
      <c r="B115" s="411" t="s">
        <v>548</v>
      </c>
      <c r="C115" s="418" t="s">
        <v>1120</v>
      </c>
      <c r="D115" s="419" t="s">
        <v>519</v>
      </c>
      <c r="E115" s="419" t="s">
        <v>519</v>
      </c>
      <c r="F115" s="417" t="s">
        <v>1121</v>
      </c>
      <c r="G115" s="561">
        <v>138</v>
      </c>
      <c r="H115" s="411" t="s">
        <v>1122</v>
      </c>
      <c r="I115" s="362" t="s">
        <v>419</v>
      </c>
      <c r="J115" s="435">
        <v>12222</v>
      </c>
      <c r="K115" s="362"/>
      <c r="L115" s="411" t="s">
        <v>1123</v>
      </c>
      <c r="M115" s="417"/>
      <c r="N115" s="417" t="s">
        <v>424</v>
      </c>
    </row>
    <row r="116" spans="1:14" ht="60" hidden="1">
      <c r="A116" s="406">
        <v>112</v>
      </c>
      <c r="B116" s="562" t="s">
        <v>1124</v>
      </c>
      <c r="C116" s="418" t="s">
        <v>1058</v>
      </c>
      <c r="D116" s="563" t="s">
        <v>617</v>
      </c>
      <c r="E116" s="581"/>
      <c r="F116" s="567" t="s">
        <v>1125</v>
      </c>
      <c r="G116" s="566">
        <v>138</v>
      </c>
      <c r="H116" s="406" t="s">
        <v>1126</v>
      </c>
      <c r="I116" s="362" t="s">
        <v>419</v>
      </c>
      <c r="J116" s="562" t="s">
        <v>1127</v>
      </c>
      <c r="K116" s="562"/>
      <c r="L116" s="411" t="s">
        <v>1123</v>
      </c>
      <c r="M116" s="572"/>
      <c r="N116" s="567" t="s">
        <v>424</v>
      </c>
    </row>
    <row r="117" spans="1:14" ht="60" hidden="1">
      <c r="A117" s="406">
        <v>113</v>
      </c>
      <c r="B117" s="411" t="s">
        <v>552</v>
      </c>
      <c r="C117" s="418" t="s">
        <v>1120</v>
      </c>
      <c r="D117" s="419" t="s">
        <v>553</v>
      </c>
      <c r="E117" s="419" t="s">
        <v>553</v>
      </c>
      <c r="F117" s="417" t="s">
        <v>1128</v>
      </c>
      <c r="G117" s="561">
        <v>138</v>
      </c>
      <c r="H117" s="411" t="s">
        <v>1129</v>
      </c>
      <c r="I117" s="362" t="s">
        <v>419</v>
      </c>
      <c r="J117" s="435">
        <v>12923</v>
      </c>
      <c r="K117" s="411"/>
      <c r="L117" s="411" t="s">
        <v>1123</v>
      </c>
      <c r="M117" s="417"/>
      <c r="N117" s="417" t="s">
        <v>424</v>
      </c>
    </row>
    <row r="118" spans="1:14" ht="60" hidden="1">
      <c r="A118" s="406">
        <v>114</v>
      </c>
      <c r="B118" s="406" t="s">
        <v>1130</v>
      </c>
      <c r="C118" s="425" t="s">
        <v>1058</v>
      </c>
      <c r="D118" s="419" t="s">
        <v>475</v>
      </c>
      <c r="E118" s="419" t="s">
        <v>475</v>
      </c>
      <c r="F118" s="417" t="s">
        <v>1131</v>
      </c>
      <c r="G118" s="561">
        <v>138</v>
      </c>
      <c r="H118" s="406" t="s">
        <v>1132</v>
      </c>
      <c r="I118" s="362" t="s">
        <v>419</v>
      </c>
      <c r="J118" s="411" t="s">
        <v>1133</v>
      </c>
      <c r="K118" s="362"/>
      <c r="L118" s="406" t="s">
        <v>457</v>
      </c>
      <c r="M118" s="407"/>
      <c r="N118" s="417" t="s">
        <v>424</v>
      </c>
    </row>
    <row r="119" spans="1:14" ht="60" hidden="1">
      <c r="A119" s="406">
        <v>115</v>
      </c>
      <c r="B119" s="562" t="s">
        <v>1134</v>
      </c>
      <c r="C119" s="425" t="s">
        <v>1135</v>
      </c>
      <c r="D119" s="563" t="s">
        <v>871</v>
      </c>
      <c r="E119" s="581"/>
      <c r="F119" s="567" t="s">
        <v>1136</v>
      </c>
      <c r="G119" s="566">
        <v>138</v>
      </c>
      <c r="H119" s="411" t="s">
        <v>1137</v>
      </c>
      <c r="I119" s="362" t="s">
        <v>419</v>
      </c>
      <c r="J119" s="590">
        <v>10697</v>
      </c>
      <c r="K119" s="562"/>
      <c r="L119" s="406" t="s">
        <v>457</v>
      </c>
      <c r="M119" s="572"/>
      <c r="N119" s="567" t="s">
        <v>424</v>
      </c>
    </row>
    <row r="120" spans="1:14" ht="60" hidden="1">
      <c r="A120" s="406">
        <v>116</v>
      </c>
      <c r="B120" s="411" t="s">
        <v>1138</v>
      </c>
      <c r="C120" s="418" t="s">
        <v>1139</v>
      </c>
      <c r="D120" s="419" t="s">
        <v>445</v>
      </c>
      <c r="E120" s="419" t="s">
        <v>445</v>
      </c>
      <c r="F120" s="417" t="s">
        <v>1140</v>
      </c>
      <c r="G120" s="561">
        <v>138</v>
      </c>
      <c r="H120" s="411" t="s">
        <v>1141</v>
      </c>
      <c r="I120" s="362" t="s">
        <v>419</v>
      </c>
      <c r="J120" s="417" t="s">
        <v>1142</v>
      </c>
      <c r="K120" s="362"/>
      <c r="L120" s="406" t="s">
        <v>457</v>
      </c>
      <c r="M120" s="417"/>
      <c r="N120" s="417" t="s">
        <v>424</v>
      </c>
    </row>
    <row r="121" spans="1:14" ht="57.75" hidden="1" customHeight="1">
      <c r="A121" s="406">
        <v>117</v>
      </c>
      <c r="B121" s="362" t="s">
        <v>1143</v>
      </c>
      <c r="C121" s="418" t="s">
        <v>1144</v>
      </c>
      <c r="D121" s="419" t="s">
        <v>1145</v>
      </c>
      <c r="E121" s="419" t="s">
        <v>1145</v>
      </c>
      <c r="F121" s="378" t="s">
        <v>1146</v>
      </c>
      <c r="G121" s="561">
        <v>138</v>
      </c>
      <c r="H121" s="443" t="s">
        <v>1147</v>
      </c>
      <c r="I121" s="362" t="s">
        <v>430</v>
      </c>
      <c r="J121" s="362" t="s">
        <v>1148</v>
      </c>
      <c r="K121" s="411"/>
      <c r="L121" s="362" t="s">
        <v>1150</v>
      </c>
      <c r="M121" s="417"/>
      <c r="N121" s="362" t="s">
        <v>633</v>
      </c>
    </row>
    <row r="122" spans="1:14" ht="69.75" hidden="1" customHeight="1">
      <c r="A122" s="406">
        <v>118</v>
      </c>
      <c r="B122" s="429" t="s">
        <v>846</v>
      </c>
      <c r="C122" s="418" t="s">
        <v>1157</v>
      </c>
      <c r="D122" s="454" t="s">
        <v>416</v>
      </c>
      <c r="E122" s="454" t="s">
        <v>416</v>
      </c>
      <c r="F122" s="455" t="s">
        <v>1158</v>
      </c>
      <c r="G122" s="561">
        <v>138</v>
      </c>
      <c r="H122" s="455" t="s">
        <v>1159</v>
      </c>
      <c r="I122" s="362" t="s">
        <v>419</v>
      </c>
      <c r="J122" s="378" t="s">
        <v>1160</v>
      </c>
      <c r="K122" s="411"/>
      <c r="L122" s="411" t="s">
        <v>1156</v>
      </c>
      <c r="M122" s="417"/>
      <c r="N122" s="362" t="s">
        <v>511</v>
      </c>
    </row>
    <row r="123" spans="1:14" ht="60" hidden="1">
      <c r="A123" s="406">
        <v>119</v>
      </c>
      <c r="B123" s="412" t="s">
        <v>846</v>
      </c>
      <c r="C123" s="418" t="s">
        <v>606</v>
      </c>
      <c r="D123" s="582" t="s">
        <v>750</v>
      </c>
      <c r="E123" s="591"/>
      <c r="F123" s="412" t="s">
        <v>1161</v>
      </c>
      <c r="G123" s="566">
        <v>138</v>
      </c>
      <c r="H123" s="362" t="s">
        <v>1162</v>
      </c>
      <c r="I123" s="362" t="s">
        <v>901</v>
      </c>
      <c r="J123" s="569" t="s">
        <v>1163</v>
      </c>
      <c r="K123" s="412"/>
      <c r="L123" s="411" t="s">
        <v>1156</v>
      </c>
      <c r="M123" s="572"/>
      <c r="N123" s="567" t="s">
        <v>511</v>
      </c>
    </row>
    <row r="124" spans="1:14" ht="45" hidden="1">
      <c r="A124" s="406">
        <v>120</v>
      </c>
      <c r="B124" s="406" t="s">
        <v>1164</v>
      </c>
      <c r="C124" s="418" t="s">
        <v>1165</v>
      </c>
      <c r="D124" s="419" t="s">
        <v>427</v>
      </c>
      <c r="E124" s="419" t="s">
        <v>427</v>
      </c>
      <c r="F124" s="362" t="s">
        <v>1166</v>
      </c>
      <c r="G124" s="561">
        <v>138</v>
      </c>
      <c r="H124" s="417"/>
      <c r="I124" s="378" t="s">
        <v>499</v>
      </c>
      <c r="J124" s="417"/>
      <c r="K124" s="411"/>
      <c r="L124" s="378" t="s">
        <v>1168</v>
      </c>
      <c r="M124" s="417"/>
      <c r="N124" s="417" t="s">
        <v>1169</v>
      </c>
    </row>
    <row r="125" spans="1:14" ht="45" hidden="1">
      <c r="A125" s="406">
        <v>121</v>
      </c>
      <c r="B125" s="562" t="s">
        <v>1164</v>
      </c>
      <c r="C125" s="418" t="s">
        <v>1170</v>
      </c>
      <c r="D125" s="563" t="s">
        <v>1030</v>
      </c>
      <c r="E125" s="581"/>
      <c r="F125" s="412" t="s">
        <v>1171</v>
      </c>
      <c r="G125" s="566">
        <v>138</v>
      </c>
      <c r="H125" s="417"/>
      <c r="I125" s="378" t="s">
        <v>499</v>
      </c>
      <c r="J125" s="567"/>
      <c r="K125" s="562"/>
      <c r="L125" s="378" t="s">
        <v>1168</v>
      </c>
      <c r="M125" s="572"/>
      <c r="N125" s="567" t="s">
        <v>1169</v>
      </c>
    </row>
    <row r="126" spans="1:14" ht="60" hidden="1">
      <c r="A126" s="406">
        <v>122</v>
      </c>
      <c r="B126" s="362" t="s">
        <v>1173</v>
      </c>
      <c r="C126" s="418" t="s">
        <v>898</v>
      </c>
      <c r="D126" s="419" t="s">
        <v>865</v>
      </c>
      <c r="E126" s="419" t="s">
        <v>865</v>
      </c>
      <c r="F126" s="378" t="s">
        <v>1174</v>
      </c>
      <c r="G126" s="561">
        <v>138</v>
      </c>
      <c r="H126" s="362" t="s">
        <v>1175</v>
      </c>
      <c r="I126" s="362" t="s">
        <v>419</v>
      </c>
      <c r="J126" s="362" t="s">
        <v>1176</v>
      </c>
      <c r="K126" s="411"/>
      <c r="L126" s="417"/>
      <c r="M126" s="417"/>
      <c r="N126" s="417" t="s">
        <v>511</v>
      </c>
    </row>
    <row r="127" spans="1:14" ht="75" hidden="1">
      <c r="A127" s="406">
        <v>123</v>
      </c>
      <c r="B127" s="362" t="s">
        <v>1178</v>
      </c>
      <c r="C127" s="418" t="s">
        <v>898</v>
      </c>
      <c r="D127" s="419" t="s">
        <v>865</v>
      </c>
      <c r="E127" s="419" t="s">
        <v>865</v>
      </c>
      <c r="F127" s="378" t="s">
        <v>1179</v>
      </c>
      <c r="G127" s="561">
        <v>138</v>
      </c>
      <c r="H127" s="362" t="s">
        <v>1180</v>
      </c>
      <c r="I127" s="362" t="s">
        <v>419</v>
      </c>
      <c r="J127" s="362" t="s">
        <v>1181</v>
      </c>
      <c r="K127" s="411"/>
      <c r="L127" s="406" t="s">
        <v>1076</v>
      </c>
      <c r="M127" s="417"/>
      <c r="N127" s="417" t="s">
        <v>511</v>
      </c>
    </row>
    <row r="128" spans="1:14" ht="60" hidden="1">
      <c r="A128" s="406">
        <v>124</v>
      </c>
      <c r="B128" s="429" t="s">
        <v>1182</v>
      </c>
      <c r="C128" s="418" t="s">
        <v>1183</v>
      </c>
      <c r="D128" s="419" t="s">
        <v>734</v>
      </c>
      <c r="E128" s="419" t="s">
        <v>734</v>
      </c>
      <c r="F128" s="378" t="s">
        <v>1184</v>
      </c>
      <c r="G128" s="561">
        <v>138</v>
      </c>
      <c r="H128" s="362" t="s">
        <v>1185</v>
      </c>
      <c r="I128" s="362" t="s">
        <v>901</v>
      </c>
      <c r="J128" s="437" t="s">
        <v>1186</v>
      </c>
      <c r="K128" s="411"/>
      <c r="L128" s="406" t="s">
        <v>863</v>
      </c>
      <c r="M128" s="417"/>
      <c r="N128" s="378" t="s">
        <v>511</v>
      </c>
    </row>
    <row r="129" spans="1:14" ht="75" hidden="1">
      <c r="A129" s="406">
        <v>125</v>
      </c>
      <c r="B129" s="412" t="s">
        <v>1187</v>
      </c>
      <c r="C129" s="418" t="s">
        <v>1111</v>
      </c>
      <c r="D129" s="563" t="s">
        <v>660</v>
      </c>
      <c r="E129" s="581"/>
      <c r="F129" s="569" t="s">
        <v>1188</v>
      </c>
      <c r="G129" s="566">
        <v>138</v>
      </c>
      <c r="H129" s="362" t="s">
        <v>1189</v>
      </c>
      <c r="I129" s="362" t="s">
        <v>430</v>
      </c>
      <c r="J129" s="580" t="s">
        <v>1190</v>
      </c>
      <c r="K129" s="562"/>
      <c r="L129" s="406" t="s">
        <v>863</v>
      </c>
      <c r="M129" s="572"/>
      <c r="N129" s="567" t="s">
        <v>511</v>
      </c>
    </row>
    <row r="130" spans="1:14" ht="75" hidden="1">
      <c r="A130" s="406">
        <v>126</v>
      </c>
      <c r="B130" s="412" t="s">
        <v>1191</v>
      </c>
      <c r="C130" s="418" t="s">
        <v>1111</v>
      </c>
      <c r="D130" s="563" t="s">
        <v>660</v>
      </c>
      <c r="E130" s="581"/>
      <c r="F130" s="569" t="s">
        <v>1192</v>
      </c>
      <c r="G130" s="566">
        <v>138</v>
      </c>
      <c r="H130" s="362" t="s">
        <v>1193</v>
      </c>
      <c r="I130" s="362" t="s">
        <v>430</v>
      </c>
      <c r="J130" s="584">
        <v>32530</v>
      </c>
      <c r="K130" s="562"/>
      <c r="L130" s="406" t="s">
        <v>863</v>
      </c>
      <c r="M130" s="572"/>
      <c r="N130" s="567" t="s">
        <v>511</v>
      </c>
    </row>
    <row r="131" spans="1:14" ht="60" hidden="1">
      <c r="A131" s="406">
        <v>127</v>
      </c>
      <c r="B131" s="429" t="s">
        <v>1200</v>
      </c>
      <c r="C131" s="418" t="s">
        <v>1201</v>
      </c>
      <c r="D131" s="419" t="s">
        <v>847</v>
      </c>
      <c r="E131" s="419" t="s">
        <v>847</v>
      </c>
      <c r="F131" s="378" t="s">
        <v>1202</v>
      </c>
      <c r="G131" s="561">
        <v>138</v>
      </c>
      <c r="H131" s="362" t="s">
        <v>1203</v>
      </c>
      <c r="I131" s="378" t="s">
        <v>499</v>
      </c>
      <c r="J131" s="437" t="s">
        <v>1204</v>
      </c>
      <c r="K131" s="411"/>
      <c r="L131" s="406" t="s">
        <v>863</v>
      </c>
      <c r="M131" s="417"/>
      <c r="N131" s="378" t="s">
        <v>1205</v>
      </c>
    </row>
    <row r="132" spans="1:14" ht="60" hidden="1">
      <c r="A132" s="406">
        <v>128</v>
      </c>
      <c r="B132" s="429" t="s">
        <v>1200</v>
      </c>
      <c r="C132" s="418" t="s">
        <v>1201</v>
      </c>
      <c r="D132" s="419" t="s">
        <v>734</v>
      </c>
      <c r="E132" s="419" t="s">
        <v>734</v>
      </c>
      <c r="F132" s="378" t="s">
        <v>1206</v>
      </c>
      <c r="G132" s="561">
        <v>138</v>
      </c>
      <c r="H132" s="362" t="s">
        <v>1207</v>
      </c>
      <c r="I132" s="378" t="s">
        <v>499</v>
      </c>
      <c r="J132" s="437" t="s">
        <v>1208</v>
      </c>
      <c r="K132" s="411"/>
      <c r="L132" s="406" t="s">
        <v>863</v>
      </c>
      <c r="M132" s="417"/>
      <c r="N132" s="378" t="s">
        <v>1205</v>
      </c>
    </row>
    <row r="133" spans="1:14" ht="60" hidden="1">
      <c r="A133" s="406">
        <v>129</v>
      </c>
      <c r="B133" s="429" t="s">
        <v>1200</v>
      </c>
      <c r="C133" s="418" t="s">
        <v>1201</v>
      </c>
      <c r="D133" s="419" t="s">
        <v>1209</v>
      </c>
      <c r="E133" s="419" t="s">
        <v>1209</v>
      </c>
      <c r="F133" s="378" t="s">
        <v>1210</v>
      </c>
      <c r="G133" s="561">
        <v>138</v>
      </c>
      <c r="H133" s="362" t="s">
        <v>1211</v>
      </c>
      <c r="I133" s="378" t="s">
        <v>499</v>
      </c>
      <c r="J133" s="437" t="s">
        <v>1212</v>
      </c>
      <c r="K133" s="411"/>
      <c r="L133" s="406" t="s">
        <v>1213</v>
      </c>
      <c r="M133" s="417"/>
      <c r="N133" s="378" t="s">
        <v>1205</v>
      </c>
    </row>
    <row r="134" spans="1:14" ht="75" hidden="1">
      <c r="A134" s="406">
        <v>130</v>
      </c>
      <c r="B134" s="362" t="s">
        <v>1214</v>
      </c>
      <c r="C134" s="418" t="s">
        <v>1157</v>
      </c>
      <c r="D134" s="419" t="s">
        <v>1215</v>
      </c>
      <c r="E134" s="419" t="s">
        <v>1215</v>
      </c>
      <c r="F134" s="378" t="s">
        <v>1216</v>
      </c>
      <c r="G134" s="561">
        <v>138</v>
      </c>
      <c r="H134" s="362" t="s">
        <v>1217</v>
      </c>
      <c r="I134" s="378" t="s">
        <v>499</v>
      </c>
      <c r="J134" s="362" t="s">
        <v>1218</v>
      </c>
      <c r="K134" s="411"/>
      <c r="L134" s="406" t="s">
        <v>1076</v>
      </c>
      <c r="M134" s="417"/>
      <c r="N134" s="431" t="s">
        <v>1205</v>
      </c>
    </row>
    <row r="135" spans="1:14" ht="60" hidden="1">
      <c r="A135" s="406">
        <v>131</v>
      </c>
      <c r="B135" s="423" t="s">
        <v>1220</v>
      </c>
      <c r="C135" s="418" t="s">
        <v>1221</v>
      </c>
      <c r="D135" s="419" t="s">
        <v>1222</v>
      </c>
      <c r="E135" s="419" t="s">
        <v>1222</v>
      </c>
      <c r="F135" s="378" t="s">
        <v>1223</v>
      </c>
      <c r="G135" s="561">
        <v>138</v>
      </c>
      <c r="H135" s="362" t="s">
        <v>1224</v>
      </c>
      <c r="I135" s="378" t="s">
        <v>499</v>
      </c>
      <c r="J135" s="362" t="s">
        <v>1225</v>
      </c>
      <c r="K135" s="362"/>
      <c r="L135" s="407" t="s">
        <v>523</v>
      </c>
      <c r="M135" s="417"/>
      <c r="N135" s="456" t="s">
        <v>1205</v>
      </c>
    </row>
    <row r="136" spans="1:14" ht="60" hidden="1">
      <c r="A136" s="406">
        <v>132</v>
      </c>
      <c r="B136" s="423" t="s">
        <v>1220</v>
      </c>
      <c r="C136" s="418" t="s">
        <v>1221</v>
      </c>
      <c r="D136" s="419" t="s">
        <v>1222</v>
      </c>
      <c r="E136" s="419" t="s">
        <v>1222</v>
      </c>
      <c r="F136" s="378" t="s">
        <v>1227</v>
      </c>
      <c r="G136" s="561">
        <v>138</v>
      </c>
      <c r="H136" s="362" t="s">
        <v>1228</v>
      </c>
      <c r="I136" s="378" t="s">
        <v>499</v>
      </c>
      <c r="J136" s="362" t="s">
        <v>1229</v>
      </c>
      <c r="K136" s="362"/>
      <c r="L136" s="407" t="s">
        <v>523</v>
      </c>
      <c r="M136" s="417"/>
      <c r="N136" s="456" t="s">
        <v>1205</v>
      </c>
    </row>
    <row r="137" spans="1:14" ht="60" hidden="1">
      <c r="A137" s="406">
        <v>133</v>
      </c>
      <c r="B137" s="423" t="s">
        <v>1220</v>
      </c>
      <c r="C137" s="418" t="s">
        <v>1221</v>
      </c>
      <c r="D137" s="419" t="s">
        <v>1222</v>
      </c>
      <c r="E137" s="419" t="s">
        <v>1222</v>
      </c>
      <c r="F137" s="378" t="s">
        <v>1230</v>
      </c>
      <c r="G137" s="561">
        <v>138</v>
      </c>
      <c r="H137" s="362" t="s">
        <v>1231</v>
      </c>
      <c r="I137" s="378" t="s">
        <v>499</v>
      </c>
      <c r="J137" s="430">
        <v>25000</v>
      </c>
      <c r="K137" s="362"/>
      <c r="L137" s="407" t="s">
        <v>523</v>
      </c>
      <c r="M137" s="417"/>
      <c r="N137" s="456" t="s">
        <v>1205</v>
      </c>
    </row>
    <row r="138" spans="1:14" ht="60" hidden="1">
      <c r="A138" s="406">
        <v>134</v>
      </c>
      <c r="B138" s="423" t="s">
        <v>1220</v>
      </c>
      <c r="C138" s="418" t="s">
        <v>1221</v>
      </c>
      <c r="D138" s="419" t="s">
        <v>1222</v>
      </c>
      <c r="E138" s="419" t="s">
        <v>1222</v>
      </c>
      <c r="F138" s="378" t="s">
        <v>1232</v>
      </c>
      <c r="G138" s="561">
        <v>138</v>
      </c>
      <c r="H138" s="362" t="s">
        <v>1233</v>
      </c>
      <c r="I138" s="378" t="s">
        <v>499</v>
      </c>
      <c r="J138" s="457" t="s">
        <v>1234</v>
      </c>
      <c r="K138" s="362"/>
      <c r="L138" s="407" t="s">
        <v>523</v>
      </c>
      <c r="M138" s="417"/>
      <c r="N138" s="431" t="s">
        <v>1205</v>
      </c>
    </row>
    <row r="139" spans="1:14" ht="90" hidden="1">
      <c r="A139" s="406">
        <v>135</v>
      </c>
      <c r="B139" s="362" t="s">
        <v>1235</v>
      </c>
      <c r="C139" s="425" t="s">
        <v>1236</v>
      </c>
      <c r="D139" s="419" t="s">
        <v>1237</v>
      </c>
      <c r="E139" s="419" t="s">
        <v>1237</v>
      </c>
      <c r="F139" s="378" t="s">
        <v>1238</v>
      </c>
      <c r="G139" s="561">
        <v>138</v>
      </c>
      <c r="H139" s="362" t="s">
        <v>1239</v>
      </c>
      <c r="I139" s="362" t="s">
        <v>419</v>
      </c>
      <c r="J139" s="435">
        <v>54154</v>
      </c>
      <c r="K139" s="411"/>
      <c r="L139" s="406" t="s">
        <v>1241</v>
      </c>
      <c r="M139" s="417"/>
      <c r="N139" s="417" t="s">
        <v>511</v>
      </c>
    </row>
    <row r="140" spans="1:14" ht="60" hidden="1">
      <c r="A140" s="406">
        <v>136</v>
      </c>
      <c r="B140" s="458" t="s">
        <v>1242</v>
      </c>
      <c r="C140" s="418" t="s">
        <v>1116</v>
      </c>
      <c r="D140" s="419" t="s">
        <v>553</v>
      </c>
      <c r="E140" s="419" t="s">
        <v>553</v>
      </c>
      <c r="F140" s="378" t="s">
        <v>1243</v>
      </c>
      <c r="G140" s="561">
        <v>138</v>
      </c>
      <c r="H140" s="362" t="s">
        <v>1244</v>
      </c>
      <c r="I140" s="362" t="s">
        <v>419</v>
      </c>
      <c r="J140" s="437" t="s">
        <v>1245</v>
      </c>
      <c r="K140" s="411"/>
      <c r="L140" s="407" t="s">
        <v>1247</v>
      </c>
      <c r="M140" s="417"/>
      <c r="N140" s="431" t="s">
        <v>511</v>
      </c>
    </row>
    <row r="141" spans="1:14" ht="60" hidden="1">
      <c r="A141" s="406">
        <v>137</v>
      </c>
      <c r="B141" s="423" t="s">
        <v>897</v>
      </c>
      <c r="C141" s="418" t="s">
        <v>1116</v>
      </c>
      <c r="D141" s="419" t="s">
        <v>553</v>
      </c>
      <c r="E141" s="419" t="s">
        <v>553</v>
      </c>
      <c r="F141" s="378" t="s">
        <v>1248</v>
      </c>
      <c r="G141" s="561">
        <v>138</v>
      </c>
      <c r="H141" s="362" t="s">
        <v>1249</v>
      </c>
      <c r="I141" s="362" t="s">
        <v>419</v>
      </c>
      <c r="J141" s="378" t="s">
        <v>1250</v>
      </c>
      <c r="K141" s="411"/>
      <c r="L141" s="407" t="s">
        <v>1247</v>
      </c>
      <c r="M141" s="417"/>
      <c r="N141" s="431" t="s">
        <v>511</v>
      </c>
    </row>
    <row r="142" spans="1:14" ht="60" hidden="1">
      <c r="A142" s="406">
        <v>138</v>
      </c>
      <c r="B142" s="406" t="s">
        <v>1251</v>
      </c>
      <c r="C142" s="460" t="s">
        <v>1252</v>
      </c>
      <c r="D142" s="461" t="s">
        <v>865</v>
      </c>
      <c r="E142" s="461" t="s">
        <v>865</v>
      </c>
      <c r="F142" s="459" t="s">
        <v>1253</v>
      </c>
      <c r="G142" s="561">
        <v>138</v>
      </c>
      <c r="H142" s="411" t="s">
        <v>1254</v>
      </c>
      <c r="I142" s="379" t="s">
        <v>419</v>
      </c>
      <c r="J142" s="462">
        <v>1834873.29</v>
      </c>
      <c r="K142" s="463"/>
      <c r="L142" s="406" t="s">
        <v>1034</v>
      </c>
      <c r="M142" s="417"/>
      <c r="N142" s="464" t="s">
        <v>424</v>
      </c>
    </row>
    <row r="143" spans="1:14" ht="90" hidden="1">
      <c r="A143" s="406">
        <v>139</v>
      </c>
      <c r="B143" s="412" t="s">
        <v>1255</v>
      </c>
      <c r="C143" s="418" t="s">
        <v>1256</v>
      </c>
      <c r="D143" s="563" t="s">
        <v>871</v>
      </c>
      <c r="E143" s="581"/>
      <c r="F143" s="569" t="s">
        <v>1257</v>
      </c>
      <c r="G143" s="566">
        <v>138</v>
      </c>
      <c r="H143" s="362" t="s">
        <v>1258</v>
      </c>
      <c r="I143" s="362" t="s">
        <v>419</v>
      </c>
      <c r="J143" s="589" t="s">
        <v>1259</v>
      </c>
      <c r="K143" s="412"/>
      <c r="L143" s="465" t="s">
        <v>1260</v>
      </c>
      <c r="M143" s="592"/>
      <c r="N143" s="567" t="s">
        <v>511</v>
      </c>
    </row>
    <row r="144" spans="1:14" ht="93.75" hidden="1" customHeight="1">
      <c r="A144" s="406">
        <v>140</v>
      </c>
      <c r="B144" s="429" t="s">
        <v>1079</v>
      </c>
      <c r="C144" s="418" t="s">
        <v>1105</v>
      </c>
      <c r="D144" s="419" t="s">
        <v>865</v>
      </c>
      <c r="E144" s="419" t="s">
        <v>865</v>
      </c>
      <c r="F144" s="378" t="s">
        <v>1261</v>
      </c>
      <c r="G144" s="561">
        <v>138</v>
      </c>
      <c r="H144" s="362" t="s">
        <v>1262</v>
      </c>
      <c r="I144" s="362" t="s">
        <v>419</v>
      </c>
      <c r="J144" s="378" t="s">
        <v>1263</v>
      </c>
      <c r="K144" s="411"/>
      <c r="L144" s="406" t="s">
        <v>1264</v>
      </c>
      <c r="M144" s="417"/>
      <c r="N144" s="417" t="s">
        <v>511</v>
      </c>
    </row>
    <row r="145" spans="1:14" ht="90" hidden="1">
      <c r="A145" s="406">
        <v>141</v>
      </c>
      <c r="B145" s="412" t="s">
        <v>1265</v>
      </c>
      <c r="C145" s="418" t="s">
        <v>606</v>
      </c>
      <c r="D145" s="563" t="s">
        <v>871</v>
      </c>
      <c r="E145" s="581"/>
      <c r="F145" s="569" t="s">
        <v>1266</v>
      </c>
      <c r="G145" s="566">
        <v>138</v>
      </c>
      <c r="H145" s="362" t="s">
        <v>1267</v>
      </c>
      <c r="I145" s="362" t="s">
        <v>419</v>
      </c>
      <c r="J145" s="589" t="s">
        <v>1268</v>
      </c>
      <c r="K145" s="412"/>
      <c r="L145" s="406" t="s">
        <v>1270</v>
      </c>
      <c r="M145" s="572"/>
      <c r="N145" s="567" t="s">
        <v>511</v>
      </c>
    </row>
    <row r="146" spans="1:14" ht="87.75" customHeight="1">
      <c r="A146" s="406">
        <v>142</v>
      </c>
      <c r="B146" s="429" t="s">
        <v>1079</v>
      </c>
      <c r="C146" s="418" t="s">
        <v>1271</v>
      </c>
      <c r="D146" s="419" t="s">
        <v>714</v>
      </c>
      <c r="E146" s="419" t="s">
        <v>714</v>
      </c>
      <c r="F146" s="378" t="s">
        <v>1272</v>
      </c>
      <c r="G146" s="561">
        <v>138</v>
      </c>
      <c r="H146" s="362" t="s">
        <v>1273</v>
      </c>
      <c r="I146" s="362" t="s">
        <v>499</v>
      </c>
      <c r="J146" s="437" t="s">
        <v>1274</v>
      </c>
      <c r="K146" s="362"/>
      <c r="L146" s="406" t="s">
        <v>1276</v>
      </c>
      <c r="M146" s="362" t="s">
        <v>1084</v>
      </c>
      <c r="N146" s="378" t="s">
        <v>511</v>
      </c>
    </row>
    <row r="147" spans="1:14" ht="75" hidden="1">
      <c r="A147" s="406">
        <v>143</v>
      </c>
      <c r="B147" s="412" t="s">
        <v>1194</v>
      </c>
      <c r="C147" s="418" t="s">
        <v>1277</v>
      </c>
      <c r="D147" s="563" t="s">
        <v>1278</v>
      </c>
      <c r="E147" s="581"/>
      <c r="F147" s="569" t="s">
        <v>1279</v>
      </c>
      <c r="G147" s="566">
        <v>138</v>
      </c>
      <c r="H147" s="362" t="s">
        <v>1280</v>
      </c>
      <c r="I147" s="362" t="s">
        <v>629</v>
      </c>
      <c r="J147" s="593">
        <v>83532.78</v>
      </c>
      <c r="K147" s="562"/>
      <c r="L147" s="407" t="s">
        <v>1281</v>
      </c>
      <c r="M147" s="572"/>
      <c r="N147" s="567" t="s">
        <v>511</v>
      </c>
    </row>
    <row r="148" spans="1:14" ht="75" hidden="1">
      <c r="A148" s="406">
        <v>144</v>
      </c>
      <c r="B148" s="362" t="s">
        <v>1282</v>
      </c>
      <c r="C148" s="418" t="s">
        <v>1283</v>
      </c>
      <c r="D148" s="419" t="s">
        <v>1284</v>
      </c>
      <c r="E148" s="419" t="s">
        <v>1284</v>
      </c>
      <c r="F148" s="378" t="s">
        <v>1285</v>
      </c>
      <c r="G148" s="561">
        <v>138</v>
      </c>
      <c r="H148" s="362" t="s">
        <v>1286</v>
      </c>
      <c r="I148" s="362" t="s">
        <v>419</v>
      </c>
      <c r="J148" s="417" t="s">
        <v>1287</v>
      </c>
      <c r="K148" s="411"/>
      <c r="L148" s="362" t="s">
        <v>1288</v>
      </c>
      <c r="M148" s="417"/>
      <c r="N148" s="431" t="s">
        <v>472</v>
      </c>
    </row>
    <row r="149" spans="1:14" ht="62.25" hidden="1" customHeight="1">
      <c r="A149" s="406">
        <v>145</v>
      </c>
      <c r="B149" s="362" t="s">
        <v>1289</v>
      </c>
      <c r="C149" s="418" t="s">
        <v>1283</v>
      </c>
      <c r="D149" s="419" t="s">
        <v>1290</v>
      </c>
      <c r="E149" s="419" t="s">
        <v>1290</v>
      </c>
      <c r="F149" s="378" t="s">
        <v>1291</v>
      </c>
      <c r="G149" s="561">
        <v>138</v>
      </c>
      <c r="H149" s="362" t="s">
        <v>1292</v>
      </c>
      <c r="I149" s="362" t="s">
        <v>419</v>
      </c>
      <c r="J149" s="417" t="s">
        <v>1293</v>
      </c>
      <c r="K149" s="411"/>
      <c r="L149" s="411" t="s">
        <v>1294</v>
      </c>
      <c r="M149" s="417"/>
      <c r="N149" s="431" t="s">
        <v>472</v>
      </c>
    </row>
    <row r="150" spans="1:14" ht="60">
      <c r="A150" s="406">
        <v>146</v>
      </c>
      <c r="B150" s="362" t="s">
        <v>1295</v>
      </c>
      <c r="C150" s="418" t="s">
        <v>445</v>
      </c>
      <c r="D150" s="419" t="s">
        <v>445</v>
      </c>
      <c r="E150" s="419" t="s">
        <v>445</v>
      </c>
      <c r="F150" s="378" t="s">
        <v>1296</v>
      </c>
      <c r="G150" s="561">
        <v>138</v>
      </c>
      <c r="H150" s="406" t="s">
        <v>1297</v>
      </c>
      <c r="I150" s="378" t="s">
        <v>499</v>
      </c>
      <c r="J150" s="378" t="s">
        <v>1298</v>
      </c>
      <c r="K150" s="411"/>
      <c r="L150" s="407" t="s">
        <v>1299</v>
      </c>
      <c r="M150" s="467" t="s">
        <v>1300</v>
      </c>
      <c r="N150" s="431" t="s">
        <v>633</v>
      </c>
    </row>
    <row r="151" spans="1:14" ht="60" hidden="1">
      <c r="A151" s="406">
        <v>147</v>
      </c>
      <c r="B151" s="412" t="s">
        <v>1182</v>
      </c>
      <c r="C151" s="418" t="s">
        <v>1301</v>
      </c>
      <c r="D151" s="563" t="s">
        <v>660</v>
      </c>
      <c r="E151" s="581"/>
      <c r="F151" s="569" t="s">
        <v>1302</v>
      </c>
      <c r="G151" s="566">
        <v>138</v>
      </c>
      <c r="H151" s="362" t="s">
        <v>1303</v>
      </c>
      <c r="I151" s="362" t="s">
        <v>430</v>
      </c>
      <c r="J151" s="569" t="s">
        <v>1304</v>
      </c>
      <c r="K151" s="412"/>
      <c r="L151" s="407" t="s">
        <v>1247</v>
      </c>
      <c r="M151" s="572"/>
      <c r="N151" s="569" t="s">
        <v>511</v>
      </c>
    </row>
    <row r="152" spans="1:14" ht="60">
      <c r="A152" s="406">
        <v>148</v>
      </c>
      <c r="B152" s="362" t="s">
        <v>1306</v>
      </c>
      <c r="C152" s="418" t="s">
        <v>1307</v>
      </c>
      <c r="D152" s="419" t="s">
        <v>1237</v>
      </c>
      <c r="E152" s="419" t="s">
        <v>1237</v>
      </c>
      <c r="F152" s="378" t="s">
        <v>1308</v>
      </c>
      <c r="G152" s="561">
        <v>138</v>
      </c>
      <c r="H152" s="362" t="s">
        <v>1309</v>
      </c>
      <c r="I152" s="362" t="s">
        <v>419</v>
      </c>
      <c r="J152" s="362" t="s">
        <v>1310</v>
      </c>
      <c r="K152" s="411"/>
      <c r="L152" s="407" t="s">
        <v>1247</v>
      </c>
      <c r="M152" s="406" t="s">
        <v>1311</v>
      </c>
      <c r="N152" s="456" t="s">
        <v>1312</v>
      </c>
    </row>
    <row r="153" spans="1:14" ht="60">
      <c r="A153" s="406">
        <v>149</v>
      </c>
      <c r="B153" s="562" t="s">
        <v>1313</v>
      </c>
      <c r="C153" s="418" t="s">
        <v>1314</v>
      </c>
      <c r="D153" s="563" t="s">
        <v>1315</v>
      </c>
      <c r="E153" s="573"/>
      <c r="F153" s="569" t="s">
        <v>1316</v>
      </c>
      <c r="G153" s="566">
        <v>138</v>
      </c>
      <c r="H153" s="411" t="s">
        <v>1317</v>
      </c>
      <c r="I153" s="362" t="s">
        <v>629</v>
      </c>
      <c r="J153" s="412" t="s">
        <v>1318</v>
      </c>
      <c r="K153" s="562" t="s">
        <v>1319</v>
      </c>
      <c r="L153" s="407" t="s">
        <v>1247</v>
      </c>
      <c r="M153" s="562" t="s">
        <v>1311</v>
      </c>
      <c r="N153" s="567" t="s">
        <v>1312</v>
      </c>
    </row>
    <row r="154" spans="1:14" ht="59.25" customHeight="1">
      <c r="A154" s="406">
        <v>150</v>
      </c>
      <c r="B154" s="562" t="s">
        <v>1313</v>
      </c>
      <c r="C154" s="418" t="s">
        <v>1314</v>
      </c>
      <c r="D154" s="563" t="s">
        <v>1315</v>
      </c>
      <c r="E154" s="573"/>
      <c r="F154" s="569" t="s">
        <v>1320</v>
      </c>
      <c r="G154" s="566">
        <v>138</v>
      </c>
      <c r="H154" s="411" t="s">
        <v>1321</v>
      </c>
      <c r="I154" s="378" t="s">
        <v>629</v>
      </c>
      <c r="J154" s="562" t="s">
        <v>1322</v>
      </c>
      <c r="K154" s="562" t="s">
        <v>1319</v>
      </c>
      <c r="L154" s="407" t="s">
        <v>1247</v>
      </c>
      <c r="M154" s="562" t="s">
        <v>1311</v>
      </c>
      <c r="N154" s="567" t="s">
        <v>1312</v>
      </c>
    </row>
    <row r="155" spans="1:14" ht="60">
      <c r="A155" s="406">
        <v>151</v>
      </c>
      <c r="B155" s="562" t="s">
        <v>1313</v>
      </c>
      <c r="C155" s="418" t="s">
        <v>1314</v>
      </c>
      <c r="D155" s="563" t="s">
        <v>1315</v>
      </c>
      <c r="E155" s="573"/>
      <c r="F155" s="569" t="s">
        <v>1323</v>
      </c>
      <c r="G155" s="566">
        <v>138</v>
      </c>
      <c r="H155" s="411" t="s">
        <v>1324</v>
      </c>
      <c r="I155" s="378" t="s">
        <v>629</v>
      </c>
      <c r="J155" s="562" t="s">
        <v>1325</v>
      </c>
      <c r="K155" s="562" t="s">
        <v>1319</v>
      </c>
      <c r="L155" s="407" t="s">
        <v>1247</v>
      </c>
      <c r="M155" s="562" t="s">
        <v>1311</v>
      </c>
      <c r="N155" s="567" t="s">
        <v>1312</v>
      </c>
    </row>
    <row r="156" spans="1:14" ht="60">
      <c r="A156" s="406">
        <v>152</v>
      </c>
      <c r="B156" s="562" t="s">
        <v>1313</v>
      </c>
      <c r="C156" s="418" t="s">
        <v>1314</v>
      </c>
      <c r="D156" s="563" t="s">
        <v>1315</v>
      </c>
      <c r="E156" s="573"/>
      <c r="F156" s="569" t="s">
        <v>1326</v>
      </c>
      <c r="G156" s="566">
        <v>138</v>
      </c>
      <c r="H156" s="411" t="s">
        <v>1327</v>
      </c>
      <c r="I156" s="378" t="s">
        <v>629</v>
      </c>
      <c r="J156" s="562" t="s">
        <v>1328</v>
      </c>
      <c r="K156" s="562" t="s">
        <v>1319</v>
      </c>
      <c r="L156" s="407" t="s">
        <v>1247</v>
      </c>
      <c r="M156" s="562" t="s">
        <v>1311</v>
      </c>
      <c r="N156" s="567" t="s">
        <v>1312</v>
      </c>
    </row>
    <row r="157" spans="1:14" ht="90" hidden="1">
      <c r="A157" s="406">
        <v>153</v>
      </c>
      <c r="B157" s="411" t="s">
        <v>1329</v>
      </c>
      <c r="C157" s="425" t="s">
        <v>1236</v>
      </c>
      <c r="D157" s="419" t="s">
        <v>1237</v>
      </c>
      <c r="E157" s="419" t="s">
        <v>1237</v>
      </c>
      <c r="F157" s="378" t="s">
        <v>1330</v>
      </c>
      <c r="G157" s="561">
        <v>138</v>
      </c>
      <c r="H157" s="362" t="s">
        <v>1331</v>
      </c>
      <c r="I157" s="362" t="s">
        <v>419</v>
      </c>
      <c r="J157" s="435">
        <v>24369</v>
      </c>
      <c r="K157" s="411"/>
      <c r="L157" s="429" t="s">
        <v>1333</v>
      </c>
      <c r="M157" s="417"/>
      <c r="N157" s="431" t="s">
        <v>511</v>
      </c>
    </row>
    <row r="158" spans="1:14" ht="75">
      <c r="A158" s="406">
        <v>154</v>
      </c>
      <c r="B158" s="594" t="s">
        <v>1334</v>
      </c>
      <c r="C158" s="470" t="s">
        <v>836</v>
      </c>
      <c r="D158" s="595" t="s">
        <v>504</v>
      </c>
      <c r="E158" s="596"/>
      <c r="F158" s="597" t="s">
        <v>1335</v>
      </c>
      <c r="G158" s="566">
        <v>138</v>
      </c>
      <c r="H158" s="362" t="s">
        <v>1336</v>
      </c>
      <c r="I158" s="379" t="s">
        <v>430</v>
      </c>
      <c r="J158" s="597" t="s">
        <v>1337</v>
      </c>
      <c r="K158" s="594" t="s">
        <v>1010</v>
      </c>
      <c r="L158" s="471" t="s">
        <v>1247</v>
      </c>
      <c r="M158" s="594" t="s">
        <v>926</v>
      </c>
      <c r="N158" s="597" t="s">
        <v>511</v>
      </c>
    </row>
    <row r="159" spans="1:14" ht="60">
      <c r="A159" s="406">
        <v>155</v>
      </c>
      <c r="B159" s="412" t="s">
        <v>1347</v>
      </c>
      <c r="C159" s="418" t="s">
        <v>1348</v>
      </c>
      <c r="D159" s="563" t="s">
        <v>1278</v>
      </c>
      <c r="E159" s="573"/>
      <c r="F159" s="569" t="s">
        <v>1349</v>
      </c>
      <c r="G159" s="566">
        <v>138</v>
      </c>
      <c r="H159" s="362" t="s">
        <v>1350</v>
      </c>
      <c r="I159" s="456" t="s">
        <v>901</v>
      </c>
      <c r="J159" s="569" t="s">
        <v>1351</v>
      </c>
      <c r="K159" s="412" t="s">
        <v>994</v>
      </c>
      <c r="L159" s="407" t="s">
        <v>1247</v>
      </c>
      <c r="M159" s="412" t="s">
        <v>1028</v>
      </c>
      <c r="N159" s="567" t="s">
        <v>511</v>
      </c>
    </row>
    <row r="160" spans="1:14" ht="60" customHeight="1">
      <c r="A160" s="406">
        <v>156</v>
      </c>
      <c r="B160" s="362" t="s">
        <v>1352</v>
      </c>
      <c r="C160" s="418" t="s">
        <v>1209</v>
      </c>
      <c r="D160" s="419" t="s">
        <v>1209</v>
      </c>
      <c r="E160" s="419" t="s">
        <v>1209</v>
      </c>
      <c r="F160" s="456" t="s">
        <v>1353</v>
      </c>
      <c r="G160" s="456"/>
      <c r="H160" s="378">
        <v>822534</v>
      </c>
      <c r="I160" s="456" t="s">
        <v>499</v>
      </c>
      <c r="J160" s="378" t="s">
        <v>1287</v>
      </c>
      <c r="K160" s="473" t="s">
        <v>1354</v>
      </c>
      <c r="L160" s="417" t="s">
        <v>1355</v>
      </c>
      <c r="M160" s="362" t="s">
        <v>1356</v>
      </c>
      <c r="N160" s="431" t="s">
        <v>1357</v>
      </c>
    </row>
    <row r="161" spans="1:14" ht="75">
      <c r="A161" s="406">
        <v>157</v>
      </c>
      <c r="B161" s="362" t="s">
        <v>1352</v>
      </c>
      <c r="C161" s="418" t="s">
        <v>1209</v>
      </c>
      <c r="D161" s="419" t="s">
        <v>1209</v>
      </c>
      <c r="E161" s="419" t="s">
        <v>1209</v>
      </c>
      <c r="F161" s="456" t="s">
        <v>1358</v>
      </c>
      <c r="G161" s="456"/>
      <c r="H161" s="378">
        <v>13</v>
      </c>
      <c r="I161" s="456" t="s">
        <v>499</v>
      </c>
      <c r="J161" s="378" t="s">
        <v>1154</v>
      </c>
      <c r="K161" s="473" t="s">
        <v>1354</v>
      </c>
      <c r="L161" s="417" t="s">
        <v>1359</v>
      </c>
      <c r="M161" s="362" t="s">
        <v>1356</v>
      </c>
      <c r="N161" s="431" t="s">
        <v>1357</v>
      </c>
    </row>
    <row r="162" spans="1:14" ht="75">
      <c r="A162" s="406">
        <v>158</v>
      </c>
      <c r="B162" s="362" t="s">
        <v>1352</v>
      </c>
      <c r="C162" s="418" t="s">
        <v>1209</v>
      </c>
      <c r="D162" s="419" t="s">
        <v>1209</v>
      </c>
      <c r="E162" s="419" t="s">
        <v>1209</v>
      </c>
      <c r="F162" s="456" t="s">
        <v>1360</v>
      </c>
      <c r="G162" s="456"/>
      <c r="H162" s="378">
        <v>11</v>
      </c>
      <c r="I162" s="456" t="s">
        <v>499</v>
      </c>
      <c r="J162" s="378" t="s">
        <v>1154</v>
      </c>
      <c r="K162" s="473" t="s">
        <v>1354</v>
      </c>
      <c r="L162" s="417" t="s">
        <v>1359</v>
      </c>
      <c r="M162" s="362" t="s">
        <v>1356</v>
      </c>
      <c r="N162" s="431" t="s">
        <v>1357</v>
      </c>
    </row>
    <row r="163" spans="1:14" ht="75">
      <c r="A163" s="406">
        <v>159</v>
      </c>
      <c r="B163" s="362" t="s">
        <v>1352</v>
      </c>
      <c r="C163" s="418" t="s">
        <v>1209</v>
      </c>
      <c r="D163" s="419" t="s">
        <v>1209</v>
      </c>
      <c r="E163" s="419" t="s">
        <v>1209</v>
      </c>
      <c r="F163" s="456" t="s">
        <v>1361</v>
      </c>
      <c r="G163" s="456"/>
      <c r="H163" s="378">
        <v>822535</v>
      </c>
      <c r="I163" s="456" t="s">
        <v>499</v>
      </c>
      <c r="J163" s="378" t="s">
        <v>1287</v>
      </c>
      <c r="K163" s="473" t="s">
        <v>1354</v>
      </c>
      <c r="L163" s="417" t="s">
        <v>1359</v>
      </c>
      <c r="M163" s="362" t="s">
        <v>1356</v>
      </c>
      <c r="N163" s="431" t="s">
        <v>1357</v>
      </c>
    </row>
    <row r="164" spans="1:14" ht="75">
      <c r="A164" s="406">
        <v>160</v>
      </c>
      <c r="B164" s="362" t="s">
        <v>1352</v>
      </c>
      <c r="C164" s="418" t="s">
        <v>1209</v>
      </c>
      <c r="D164" s="419" t="s">
        <v>1209</v>
      </c>
      <c r="E164" s="419" t="s">
        <v>1209</v>
      </c>
      <c r="F164" s="456" t="s">
        <v>1362</v>
      </c>
      <c r="G164" s="456"/>
      <c r="H164" s="378">
        <v>12</v>
      </c>
      <c r="I164" s="456" t="s">
        <v>499</v>
      </c>
      <c r="J164" s="378" t="s">
        <v>1154</v>
      </c>
      <c r="K164" s="473" t="s">
        <v>1354</v>
      </c>
      <c r="L164" s="417" t="s">
        <v>1359</v>
      </c>
      <c r="M164" s="362" t="s">
        <v>1356</v>
      </c>
      <c r="N164" s="431" t="s">
        <v>1357</v>
      </c>
    </row>
    <row r="165" spans="1:14" ht="75">
      <c r="A165" s="406">
        <v>161</v>
      </c>
      <c r="B165" s="362" t="s">
        <v>1352</v>
      </c>
      <c r="C165" s="418" t="s">
        <v>1209</v>
      </c>
      <c r="D165" s="419" t="s">
        <v>1209</v>
      </c>
      <c r="E165" s="419" t="s">
        <v>1209</v>
      </c>
      <c r="F165" s="456" t="s">
        <v>1363</v>
      </c>
      <c r="G165" s="456"/>
      <c r="H165" s="378">
        <v>15</v>
      </c>
      <c r="I165" s="456" t="s">
        <v>499</v>
      </c>
      <c r="J165" s="378" t="s">
        <v>1154</v>
      </c>
      <c r="K165" s="473" t="s">
        <v>1354</v>
      </c>
      <c r="L165" s="417" t="s">
        <v>1359</v>
      </c>
      <c r="M165" s="362" t="s">
        <v>1356</v>
      </c>
      <c r="N165" s="431" t="s">
        <v>1357</v>
      </c>
    </row>
    <row r="166" spans="1:14" ht="75">
      <c r="A166" s="406">
        <v>164</v>
      </c>
      <c r="B166" s="412" t="s">
        <v>1101</v>
      </c>
      <c r="C166" s="418" t="s">
        <v>1277</v>
      </c>
      <c r="D166" s="563" t="s">
        <v>490</v>
      </c>
      <c r="E166" s="573"/>
      <c r="F166" s="569" t="s">
        <v>1374</v>
      </c>
      <c r="G166" s="569">
        <v>138</v>
      </c>
      <c r="H166" s="362" t="s">
        <v>1375</v>
      </c>
      <c r="I166" s="362" t="s">
        <v>419</v>
      </c>
      <c r="J166" s="569" t="s">
        <v>1376</v>
      </c>
      <c r="K166" s="412" t="s">
        <v>1377</v>
      </c>
      <c r="L166" s="406" t="s">
        <v>1378</v>
      </c>
      <c r="M166" s="412" t="s">
        <v>926</v>
      </c>
      <c r="N166" s="567" t="s">
        <v>511</v>
      </c>
    </row>
    <row r="167" spans="1:14" ht="60" hidden="1">
      <c r="A167" s="406">
        <v>163</v>
      </c>
      <c r="B167" s="362" t="s">
        <v>1306</v>
      </c>
      <c r="C167" s="418" t="s">
        <v>1307</v>
      </c>
      <c r="D167" s="419" t="s">
        <v>1237</v>
      </c>
      <c r="E167" s="419" t="s">
        <v>1237</v>
      </c>
      <c r="F167" s="378" t="s">
        <v>1371</v>
      </c>
      <c r="G167" s="378">
        <v>138</v>
      </c>
      <c r="H167" s="362" t="s">
        <v>1372</v>
      </c>
      <c r="I167" s="362" t="s">
        <v>419</v>
      </c>
      <c r="J167" s="362" t="s">
        <v>1373</v>
      </c>
      <c r="K167" s="378"/>
      <c r="L167" s="407" t="s">
        <v>1247</v>
      </c>
      <c r="M167" s="378"/>
      <c r="N167" s="431" t="s">
        <v>1312</v>
      </c>
    </row>
    <row r="168" spans="1:14" ht="60" hidden="1">
      <c r="A168" s="406">
        <v>174</v>
      </c>
      <c r="B168" s="412" t="s">
        <v>528</v>
      </c>
      <c r="C168" s="418" t="s">
        <v>518</v>
      </c>
      <c r="D168" s="563" t="s">
        <v>529</v>
      </c>
      <c r="E168" s="581"/>
      <c r="F168" s="569" t="s">
        <v>1423</v>
      </c>
      <c r="G168" s="569">
        <v>138</v>
      </c>
      <c r="H168" s="362" t="s">
        <v>1424</v>
      </c>
      <c r="I168" s="362" t="s">
        <v>430</v>
      </c>
      <c r="J168" s="412" t="s">
        <v>1425</v>
      </c>
      <c r="K168" s="412"/>
      <c r="L168" s="407" t="s">
        <v>523</v>
      </c>
      <c r="M168" s="572"/>
      <c r="N168" s="567" t="s">
        <v>511</v>
      </c>
    </row>
    <row r="169" spans="1:14" ht="60" hidden="1">
      <c r="A169" s="406">
        <v>165</v>
      </c>
      <c r="B169" s="406" t="s">
        <v>1251</v>
      </c>
      <c r="C169" s="418" t="s">
        <v>1379</v>
      </c>
      <c r="D169" s="419" t="s">
        <v>569</v>
      </c>
      <c r="E169" s="419" t="s">
        <v>569</v>
      </c>
      <c r="F169" s="456" t="s">
        <v>1380</v>
      </c>
      <c r="G169" s="378">
        <v>138</v>
      </c>
      <c r="H169" s="362" t="s">
        <v>1381</v>
      </c>
      <c r="I169" s="429" t="s">
        <v>419</v>
      </c>
      <c r="J169" s="378" t="s">
        <v>1382</v>
      </c>
      <c r="K169" s="378"/>
      <c r="L169" s="406" t="s">
        <v>1034</v>
      </c>
      <c r="M169" s="378"/>
      <c r="N169" s="431" t="s">
        <v>424</v>
      </c>
    </row>
    <row r="170" spans="1:14" ht="60">
      <c r="A170" s="406">
        <v>166</v>
      </c>
      <c r="B170" s="406" t="s">
        <v>1383</v>
      </c>
      <c r="C170" s="418" t="s">
        <v>1384</v>
      </c>
      <c r="D170" s="419" t="s">
        <v>943</v>
      </c>
      <c r="E170" s="419" t="s">
        <v>943</v>
      </c>
      <c r="F170" s="456" t="s">
        <v>1385</v>
      </c>
      <c r="G170" s="378">
        <v>138</v>
      </c>
      <c r="H170" s="406" t="s">
        <v>1386</v>
      </c>
      <c r="I170" s="456" t="s">
        <v>499</v>
      </c>
      <c r="J170" s="474" t="s">
        <v>1387</v>
      </c>
      <c r="K170" s="378"/>
      <c r="L170" s="406" t="s">
        <v>1388</v>
      </c>
      <c r="M170" s="406" t="s">
        <v>1389</v>
      </c>
      <c r="N170" s="431" t="s">
        <v>633</v>
      </c>
    </row>
    <row r="171" spans="1:14" ht="60">
      <c r="A171" s="406">
        <v>167</v>
      </c>
      <c r="B171" s="406" t="s">
        <v>1390</v>
      </c>
      <c r="C171" s="418" t="s">
        <v>1391</v>
      </c>
      <c r="D171" s="419" t="s">
        <v>1392</v>
      </c>
      <c r="E171" s="419" t="s">
        <v>1392</v>
      </c>
      <c r="F171" s="456" t="s">
        <v>1393</v>
      </c>
      <c r="G171" s="378">
        <v>138</v>
      </c>
      <c r="H171" s="406" t="s">
        <v>1394</v>
      </c>
      <c r="I171" s="456" t="s">
        <v>499</v>
      </c>
      <c r="J171" s="378" t="s">
        <v>1395</v>
      </c>
      <c r="K171" s="378"/>
      <c r="L171" s="406" t="s">
        <v>863</v>
      </c>
      <c r="M171" s="406" t="s">
        <v>1389</v>
      </c>
      <c r="N171" s="431" t="s">
        <v>633</v>
      </c>
    </row>
    <row r="172" spans="1:14" ht="60">
      <c r="A172" s="406">
        <v>168</v>
      </c>
      <c r="B172" s="429" t="s">
        <v>1396</v>
      </c>
      <c r="C172" s="418" t="s">
        <v>1384</v>
      </c>
      <c r="D172" s="419" t="s">
        <v>943</v>
      </c>
      <c r="E172" s="419" t="s">
        <v>943</v>
      </c>
      <c r="F172" s="456" t="s">
        <v>1397</v>
      </c>
      <c r="G172" s="378">
        <v>138</v>
      </c>
      <c r="H172" s="429" t="s">
        <v>1398</v>
      </c>
      <c r="I172" s="456" t="s">
        <v>499</v>
      </c>
      <c r="J172" s="378" t="s">
        <v>1399</v>
      </c>
      <c r="K172" s="378"/>
      <c r="L172" s="429" t="s">
        <v>1400</v>
      </c>
      <c r="M172" s="406" t="s">
        <v>1389</v>
      </c>
      <c r="N172" s="431" t="s">
        <v>633</v>
      </c>
    </row>
    <row r="173" spans="1:14" ht="75" hidden="1">
      <c r="A173" s="406">
        <v>169</v>
      </c>
      <c r="B173" s="429" t="s">
        <v>1401</v>
      </c>
      <c r="C173" s="418" t="s">
        <v>942</v>
      </c>
      <c r="D173" s="419" t="s">
        <v>943</v>
      </c>
      <c r="E173" s="419" t="s">
        <v>943</v>
      </c>
      <c r="F173" s="456" t="s">
        <v>1402</v>
      </c>
      <c r="G173" s="378">
        <v>138</v>
      </c>
      <c r="H173" s="429" t="s">
        <v>1403</v>
      </c>
      <c r="I173" s="429" t="s">
        <v>967</v>
      </c>
      <c r="J173" s="378" t="s">
        <v>1298</v>
      </c>
      <c r="K173" s="362"/>
      <c r="L173" s="429" t="s">
        <v>1404</v>
      </c>
      <c r="M173" s="378"/>
      <c r="N173" s="431" t="s">
        <v>633</v>
      </c>
    </row>
    <row r="174" spans="1:14" ht="75">
      <c r="A174" s="406">
        <v>184</v>
      </c>
      <c r="B174" s="412" t="s">
        <v>1472</v>
      </c>
      <c r="C174" s="418" t="s">
        <v>942</v>
      </c>
      <c r="D174" s="563" t="s">
        <v>660</v>
      </c>
      <c r="E174" s="573"/>
      <c r="F174" s="569" t="s">
        <v>1473</v>
      </c>
      <c r="G174" s="569">
        <v>138</v>
      </c>
      <c r="H174" s="406" t="s">
        <v>1474</v>
      </c>
      <c r="I174" s="429" t="s">
        <v>499</v>
      </c>
      <c r="J174" s="598">
        <v>17582</v>
      </c>
      <c r="K174" s="412" t="s">
        <v>1470</v>
      </c>
      <c r="L174" s="362" t="s">
        <v>1475</v>
      </c>
      <c r="M174" s="562" t="s">
        <v>1476</v>
      </c>
      <c r="N174" s="567" t="s">
        <v>511</v>
      </c>
    </row>
    <row r="175" spans="1:14" ht="60">
      <c r="A175" s="406">
        <v>185</v>
      </c>
      <c r="B175" s="412" t="s">
        <v>1477</v>
      </c>
      <c r="C175" s="418" t="s">
        <v>942</v>
      </c>
      <c r="D175" s="563" t="s">
        <v>660</v>
      </c>
      <c r="E175" s="573"/>
      <c r="F175" s="599"/>
      <c r="G175" s="569">
        <v>138</v>
      </c>
      <c r="H175" s="429" t="s">
        <v>1478</v>
      </c>
      <c r="I175" s="429" t="s">
        <v>499</v>
      </c>
      <c r="J175" s="600">
        <v>46812.12</v>
      </c>
      <c r="K175" s="412" t="s">
        <v>1470</v>
      </c>
      <c r="L175" s="362" t="s">
        <v>1479</v>
      </c>
      <c r="M175" s="412" t="s">
        <v>1476</v>
      </c>
      <c r="N175" s="567" t="s">
        <v>511</v>
      </c>
    </row>
    <row r="176" spans="1:14" ht="60" hidden="1">
      <c r="A176" s="406">
        <v>172</v>
      </c>
      <c r="B176" s="411" t="s">
        <v>1413</v>
      </c>
      <c r="C176" s="425" t="s">
        <v>1414</v>
      </c>
      <c r="D176" s="419" t="s">
        <v>1415</v>
      </c>
      <c r="E176" s="419" t="s">
        <v>1415</v>
      </c>
      <c r="F176" s="431" t="s">
        <v>1416</v>
      </c>
      <c r="G176" s="431"/>
      <c r="H176" s="417"/>
      <c r="I176" s="431" t="s">
        <v>499</v>
      </c>
      <c r="J176" s="417"/>
      <c r="K176" s="411" t="s">
        <v>1417</v>
      </c>
      <c r="L176" s="411" t="s">
        <v>1418</v>
      </c>
      <c r="M176" s="417"/>
      <c r="N176" s="431" t="s">
        <v>1419</v>
      </c>
    </row>
    <row r="177" spans="1:14" ht="75" hidden="1">
      <c r="A177" s="406">
        <v>173</v>
      </c>
      <c r="B177" s="429" t="s">
        <v>517</v>
      </c>
      <c r="C177" s="418" t="s">
        <v>518</v>
      </c>
      <c r="D177" s="419" t="s">
        <v>519</v>
      </c>
      <c r="E177" s="419" t="s">
        <v>519</v>
      </c>
      <c r="F177" s="378" t="s">
        <v>1420</v>
      </c>
      <c r="G177" s="378">
        <v>138</v>
      </c>
      <c r="H177" s="362" t="s">
        <v>1421</v>
      </c>
      <c r="I177" s="362" t="s">
        <v>419</v>
      </c>
      <c r="J177" s="430">
        <v>95826</v>
      </c>
      <c r="K177" s="362"/>
      <c r="L177" s="407" t="s">
        <v>523</v>
      </c>
      <c r="M177" s="417"/>
      <c r="N177" s="431" t="s">
        <v>511</v>
      </c>
    </row>
    <row r="178" spans="1:14" ht="75">
      <c r="A178" s="406">
        <v>189</v>
      </c>
      <c r="B178" s="601" t="s">
        <v>1191</v>
      </c>
      <c r="C178" s="460" t="s">
        <v>1436</v>
      </c>
      <c r="D178" s="595" t="s">
        <v>990</v>
      </c>
      <c r="E178" s="596"/>
      <c r="F178" s="602" t="s">
        <v>1493</v>
      </c>
      <c r="G178" s="569">
        <v>138</v>
      </c>
      <c r="H178" s="458" t="s">
        <v>1494</v>
      </c>
      <c r="I178" s="458" t="s">
        <v>430</v>
      </c>
      <c r="J178" s="603">
        <v>68272.72</v>
      </c>
      <c r="K178" s="601"/>
      <c r="L178" s="379" t="s">
        <v>1492</v>
      </c>
      <c r="M178" s="601" t="s">
        <v>926</v>
      </c>
      <c r="N178" s="597" t="s">
        <v>511</v>
      </c>
    </row>
    <row r="179" spans="1:14" ht="75" hidden="1">
      <c r="A179" s="406">
        <v>175</v>
      </c>
      <c r="B179" s="406" t="s">
        <v>1427</v>
      </c>
      <c r="C179" s="418" t="s">
        <v>1428</v>
      </c>
      <c r="D179" s="419" t="s">
        <v>1428</v>
      </c>
      <c r="E179" s="419" t="s">
        <v>1428</v>
      </c>
      <c r="F179" s="456" t="s">
        <v>1429</v>
      </c>
      <c r="G179" s="456"/>
      <c r="H179" s="378"/>
      <c r="I179" s="456" t="s">
        <v>499</v>
      </c>
      <c r="J179" s="378"/>
      <c r="K179" s="362" t="s">
        <v>1305</v>
      </c>
      <c r="L179" s="406" t="s">
        <v>863</v>
      </c>
      <c r="M179" s="378"/>
      <c r="N179" s="456" t="s">
        <v>633</v>
      </c>
    </row>
    <row r="180" spans="1:14" ht="75" hidden="1">
      <c r="A180" s="406">
        <v>176</v>
      </c>
      <c r="B180" s="406" t="s">
        <v>1427</v>
      </c>
      <c r="C180" s="418" t="s">
        <v>1430</v>
      </c>
      <c r="D180" s="419" t="s">
        <v>1431</v>
      </c>
      <c r="E180" s="419" t="s">
        <v>1431</v>
      </c>
      <c r="F180" s="456" t="s">
        <v>1432</v>
      </c>
      <c r="G180" s="456"/>
      <c r="H180" s="378"/>
      <c r="I180" s="456" t="s">
        <v>430</v>
      </c>
      <c r="J180" s="378"/>
      <c r="K180" s="362" t="s">
        <v>1433</v>
      </c>
      <c r="L180" s="429" t="s">
        <v>1434</v>
      </c>
      <c r="M180" s="378"/>
      <c r="N180" s="456" t="s">
        <v>633</v>
      </c>
    </row>
    <row r="181" spans="1:14" ht="60" hidden="1">
      <c r="A181" s="406">
        <v>177</v>
      </c>
      <c r="B181" s="411" t="s">
        <v>1435</v>
      </c>
      <c r="C181" s="425" t="s">
        <v>1436</v>
      </c>
      <c r="D181" s="419" t="s">
        <v>1215</v>
      </c>
      <c r="E181" s="419" t="s">
        <v>1215</v>
      </c>
      <c r="F181" s="431" t="s">
        <v>1437</v>
      </c>
      <c r="G181" s="378">
        <v>138</v>
      </c>
      <c r="H181" s="411" t="s">
        <v>1438</v>
      </c>
      <c r="I181" s="429" t="s">
        <v>419</v>
      </c>
      <c r="J181" s="411" t="s">
        <v>1439</v>
      </c>
      <c r="K181" s="411"/>
      <c r="L181" s="406" t="s">
        <v>863</v>
      </c>
      <c r="M181" s="417"/>
      <c r="N181" s="431" t="s">
        <v>424</v>
      </c>
    </row>
    <row r="182" spans="1:14" ht="90">
      <c r="A182" s="406">
        <v>178</v>
      </c>
      <c r="B182" s="411" t="s">
        <v>1440</v>
      </c>
      <c r="C182" s="425" t="s">
        <v>1343</v>
      </c>
      <c r="D182" s="419" t="s">
        <v>666</v>
      </c>
      <c r="E182" s="419" t="s">
        <v>666</v>
      </c>
      <c r="F182" s="431" t="s">
        <v>1441</v>
      </c>
      <c r="G182" s="378">
        <v>138</v>
      </c>
      <c r="H182" s="411" t="s">
        <v>1442</v>
      </c>
      <c r="I182" s="429" t="s">
        <v>430</v>
      </c>
      <c r="J182" s="417" t="s">
        <v>1443</v>
      </c>
      <c r="K182" s="411"/>
      <c r="L182" s="411" t="s">
        <v>1445</v>
      </c>
      <c r="M182" s="411" t="s">
        <v>926</v>
      </c>
      <c r="N182" s="431" t="s">
        <v>511</v>
      </c>
    </row>
    <row r="183" spans="1:14" ht="105">
      <c r="A183" s="406">
        <v>179</v>
      </c>
      <c r="B183" s="411" t="s">
        <v>1255</v>
      </c>
      <c r="C183" s="425" t="s">
        <v>1446</v>
      </c>
      <c r="D183" s="419" t="s">
        <v>1290</v>
      </c>
      <c r="E183" s="419" t="s">
        <v>1290</v>
      </c>
      <c r="F183" s="431" t="s">
        <v>1320</v>
      </c>
      <c r="G183" s="378">
        <v>138</v>
      </c>
      <c r="H183" s="411" t="s">
        <v>1447</v>
      </c>
      <c r="I183" s="429" t="s">
        <v>419</v>
      </c>
      <c r="J183" s="417" t="s">
        <v>1448</v>
      </c>
      <c r="K183" s="411"/>
      <c r="L183" s="411" t="s">
        <v>1449</v>
      </c>
      <c r="M183" s="411" t="s">
        <v>1084</v>
      </c>
      <c r="N183" s="431" t="s">
        <v>511</v>
      </c>
    </row>
    <row r="184" spans="1:14" ht="75" hidden="1">
      <c r="A184" s="406">
        <v>180</v>
      </c>
      <c r="B184" s="362" t="s">
        <v>1450</v>
      </c>
      <c r="C184" s="425" t="s">
        <v>697</v>
      </c>
      <c r="D184" s="419" t="s">
        <v>581</v>
      </c>
      <c r="E184" s="419" t="s">
        <v>581</v>
      </c>
      <c r="F184" s="431" t="s">
        <v>1451</v>
      </c>
      <c r="G184" s="378">
        <v>138</v>
      </c>
      <c r="H184" s="406" t="s">
        <v>1452</v>
      </c>
      <c r="I184" s="431" t="s">
        <v>499</v>
      </c>
      <c r="J184" s="411" t="s">
        <v>1453</v>
      </c>
      <c r="K184" s="411"/>
      <c r="L184" s="411" t="s">
        <v>1455</v>
      </c>
      <c r="M184" s="417"/>
      <c r="N184" s="431" t="s">
        <v>1357</v>
      </c>
    </row>
    <row r="185" spans="1:14" ht="60" hidden="1">
      <c r="A185" s="406">
        <v>181</v>
      </c>
      <c r="B185" s="411" t="s">
        <v>1456</v>
      </c>
      <c r="C185" s="425" t="s">
        <v>1457</v>
      </c>
      <c r="D185" s="420" t="s">
        <v>1457</v>
      </c>
      <c r="E185" s="420" t="s">
        <v>1457</v>
      </c>
      <c r="F185" s="431" t="s">
        <v>1458</v>
      </c>
      <c r="G185" s="378">
        <v>138</v>
      </c>
      <c r="H185" s="406" t="s">
        <v>1459</v>
      </c>
      <c r="I185" s="431" t="s">
        <v>499</v>
      </c>
      <c r="J185" s="435">
        <v>70000</v>
      </c>
      <c r="K185" s="411"/>
      <c r="L185" s="411" t="s">
        <v>1460</v>
      </c>
      <c r="M185" s="417"/>
      <c r="N185" s="431" t="s">
        <v>1461</v>
      </c>
    </row>
    <row r="186" spans="1:14" ht="60" hidden="1">
      <c r="A186" s="406">
        <v>182</v>
      </c>
      <c r="B186" s="411" t="s">
        <v>1462</v>
      </c>
      <c r="C186" s="425" t="s">
        <v>1457</v>
      </c>
      <c r="D186" s="420" t="s">
        <v>1457</v>
      </c>
      <c r="E186" s="420" t="s">
        <v>1457</v>
      </c>
      <c r="F186" s="431" t="s">
        <v>1463</v>
      </c>
      <c r="G186" s="378">
        <v>138</v>
      </c>
      <c r="H186" s="406" t="s">
        <v>1464</v>
      </c>
      <c r="I186" s="431" t="s">
        <v>499</v>
      </c>
      <c r="J186" s="435">
        <v>89901</v>
      </c>
      <c r="K186" s="411"/>
      <c r="L186" s="411" t="s">
        <v>1465</v>
      </c>
      <c r="M186" s="417"/>
      <c r="N186" s="431" t="s">
        <v>1461</v>
      </c>
    </row>
    <row r="187" spans="1:14" ht="60">
      <c r="A187" s="406">
        <v>183</v>
      </c>
      <c r="B187" s="362" t="s">
        <v>846</v>
      </c>
      <c r="C187" s="418" t="s">
        <v>1466</v>
      </c>
      <c r="D187" s="419" t="s">
        <v>416</v>
      </c>
      <c r="E187" s="419" t="s">
        <v>416</v>
      </c>
      <c r="F187" s="378" t="s">
        <v>1467</v>
      </c>
      <c r="G187" s="378">
        <v>138</v>
      </c>
      <c r="H187" s="406" t="s">
        <v>1468</v>
      </c>
      <c r="I187" s="429" t="s">
        <v>419</v>
      </c>
      <c r="J187" s="378" t="s">
        <v>1469</v>
      </c>
      <c r="K187" s="362"/>
      <c r="L187" s="362" t="s">
        <v>1471</v>
      </c>
      <c r="M187" s="362" t="s">
        <v>853</v>
      </c>
      <c r="N187" s="431" t="s">
        <v>511</v>
      </c>
    </row>
    <row r="188" spans="1:14" ht="75">
      <c r="A188" s="406">
        <v>190</v>
      </c>
      <c r="B188" s="412" t="s">
        <v>1090</v>
      </c>
      <c r="C188" s="418" t="s">
        <v>1436</v>
      </c>
      <c r="D188" s="563" t="s">
        <v>990</v>
      </c>
      <c r="E188" s="573"/>
      <c r="F188" s="569" t="s">
        <v>1495</v>
      </c>
      <c r="G188" s="569">
        <v>138</v>
      </c>
      <c r="H188" s="429" t="s">
        <v>1496</v>
      </c>
      <c r="I188" s="429" t="s">
        <v>419</v>
      </c>
      <c r="J188" s="569" t="s">
        <v>1497</v>
      </c>
      <c r="K188" s="412"/>
      <c r="L188" s="362" t="s">
        <v>1492</v>
      </c>
      <c r="M188" s="412" t="s">
        <v>926</v>
      </c>
      <c r="N188" s="567" t="s">
        <v>511</v>
      </c>
    </row>
    <row r="189" spans="1:14" ht="75" hidden="1">
      <c r="A189" s="406">
        <v>191</v>
      </c>
      <c r="B189" s="412" t="s">
        <v>1498</v>
      </c>
      <c r="C189" s="418" t="s">
        <v>1499</v>
      </c>
      <c r="D189" s="563" t="s">
        <v>1499</v>
      </c>
      <c r="E189" s="581"/>
      <c r="F189" s="569" t="s">
        <v>1500</v>
      </c>
      <c r="G189" s="569">
        <v>138</v>
      </c>
      <c r="H189" s="429" t="s">
        <v>1501</v>
      </c>
      <c r="I189" s="431" t="s">
        <v>499</v>
      </c>
      <c r="J189" s="598">
        <v>35000</v>
      </c>
      <c r="K189" s="412"/>
      <c r="L189" s="362" t="s">
        <v>1503</v>
      </c>
      <c r="M189" s="604"/>
      <c r="N189" s="567" t="s">
        <v>1357</v>
      </c>
    </row>
    <row r="190" spans="1:14" ht="60">
      <c r="A190" s="406">
        <v>186</v>
      </c>
      <c r="B190" s="362" t="s">
        <v>1480</v>
      </c>
      <c r="C190" s="418" t="s">
        <v>1466</v>
      </c>
      <c r="D190" s="419" t="s">
        <v>847</v>
      </c>
      <c r="E190" s="419" t="s">
        <v>847</v>
      </c>
      <c r="F190" s="378" t="s">
        <v>1481</v>
      </c>
      <c r="G190" s="378">
        <v>138</v>
      </c>
      <c r="H190" s="429" t="s">
        <v>1482</v>
      </c>
      <c r="I190" s="429" t="s">
        <v>419</v>
      </c>
      <c r="J190" s="477">
        <v>22574</v>
      </c>
      <c r="K190" s="362"/>
      <c r="L190" s="362" t="s">
        <v>1483</v>
      </c>
      <c r="M190" s="362" t="s">
        <v>996</v>
      </c>
      <c r="N190" s="431" t="s">
        <v>511</v>
      </c>
    </row>
    <row r="191" spans="1:14" ht="60">
      <c r="A191" s="406">
        <v>187</v>
      </c>
      <c r="B191" s="362" t="s">
        <v>1480</v>
      </c>
      <c r="C191" s="418" t="s">
        <v>1466</v>
      </c>
      <c r="D191" s="419" t="s">
        <v>847</v>
      </c>
      <c r="E191" s="419" t="s">
        <v>847</v>
      </c>
      <c r="F191" s="378" t="s">
        <v>1484</v>
      </c>
      <c r="G191" s="378">
        <v>138</v>
      </c>
      <c r="H191" s="429" t="s">
        <v>1485</v>
      </c>
      <c r="I191" s="429" t="s">
        <v>419</v>
      </c>
      <c r="J191" s="477">
        <v>50165</v>
      </c>
      <c r="K191" s="362"/>
      <c r="L191" s="362" t="s">
        <v>1479</v>
      </c>
      <c r="M191" s="362" t="s">
        <v>996</v>
      </c>
      <c r="N191" s="431" t="s">
        <v>511</v>
      </c>
    </row>
    <row r="192" spans="1:14" ht="75">
      <c r="A192" s="406">
        <v>188</v>
      </c>
      <c r="B192" s="362" t="s">
        <v>1486</v>
      </c>
      <c r="C192" s="418" t="s">
        <v>1487</v>
      </c>
      <c r="D192" s="419" t="s">
        <v>490</v>
      </c>
      <c r="E192" s="419" t="s">
        <v>490</v>
      </c>
      <c r="F192" s="456" t="s">
        <v>1488</v>
      </c>
      <c r="G192" s="378">
        <v>138</v>
      </c>
      <c r="H192" s="429" t="s">
        <v>1489</v>
      </c>
      <c r="I192" s="429" t="s">
        <v>419</v>
      </c>
      <c r="J192" s="378" t="s">
        <v>1490</v>
      </c>
      <c r="K192" s="362"/>
      <c r="L192" s="362" t="s">
        <v>1492</v>
      </c>
      <c r="M192" s="362" t="s">
        <v>926</v>
      </c>
      <c r="N192" s="431" t="s">
        <v>511</v>
      </c>
    </row>
    <row r="193" spans="1:14" ht="75" hidden="1">
      <c r="A193" s="406">
        <v>192</v>
      </c>
      <c r="B193" s="412" t="s">
        <v>1498</v>
      </c>
      <c r="C193" s="418" t="s">
        <v>1499</v>
      </c>
      <c r="D193" s="563" t="s">
        <v>1499</v>
      </c>
      <c r="E193" s="581"/>
      <c r="F193" s="569" t="s">
        <v>1504</v>
      </c>
      <c r="G193" s="569">
        <v>138</v>
      </c>
      <c r="H193" s="429" t="s">
        <v>1505</v>
      </c>
      <c r="I193" s="431" t="s">
        <v>499</v>
      </c>
      <c r="J193" s="598">
        <v>25000</v>
      </c>
      <c r="K193" s="412"/>
      <c r="L193" s="362" t="s">
        <v>1503</v>
      </c>
      <c r="M193" s="604"/>
      <c r="N193" s="567" t="s">
        <v>1357</v>
      </c>
    </row>
    <row r="194" spans="1:14" ht="60">
      <c r="A194" s="406">
        <v>194</v>
      </c>
      <c r="B194" s="412" t="s">
        <v>1085</v>
      </c>
      <c r="C194" s="418" t="s">
        <v>504</v>
      </c>
      <c r="D194" s="563" t="s">
        <v>504</v>
      </c>
      <c r="E194" s="573"/>
      <c r="F194" s="569" t="s">
        <v>1513</v>
      </c>
      <c r="G194" s="569">
        <v>138</v>
      </c>
      <c r="H194" s="429" t="s">
        <v>1514</v>
      </c>
      <c r="I194" s="431" t="s">
        <v>499</v>
      </c>
      <c r="J194" s="569" t="s">
        <v>1515</v>
      </c>
      <c r="K194" s="412" t="s">
        <v>1516</v>
      </c>
      <c r="L194" s="362" t="s">
        <v>1511</v>
      </c>
      <c r="M194" s="412" t="s">
        <v>1517</v>
      </c>
      <c r="N194" s="567" t="s">
        <v>511</v>
      </c>
    </row>
    <row r="195" spans="1:14" ht="60">
      <c r="A195" s="406">
        <v>195</v>
      </c>
      <c r="B195" s="412" t="s">
        <v>1518</v>
      </c>
      <c r="C195" s="418" t="s">
        <v>504</v>
      </c>
      <c r="D195" s="563" t="s">
        <v>504</v>
      </c>
      <c r="E195" s="573"/>
      <c r="F195" s="569" t="s">
        <v>1519</v>
      </c>
      <c r="G195" s="569">
        <v>138</v>
      </c>
      <c r="H195" s="429" t="s">
        <v>1520</v>
      </c>
      <c r="I195" s="431" t="s">
        <v>499</v>
      </c>
      <c r="J195" s="569" t="s">
        <v>1521</v>
      </c>
      <c r="K195" s="412" t="s">
        <v>1516</v>
      </c>
      <c r="L195" s="362" t="s">
        <v>1511</v>
      </c>
      <c r="M195" s="412" t="s">
        <v>1517</v>
      </c>
      <c r="N195" s="567" t="s">
        <v>511</v>
      </c>
    </row>
    <row r="196" spans="1:14" ht="75">
      <c r="A196" s="406">
        <v>203</v>
      </c>
      <c r="B196" s="412" t="s">
        <v>1036</v>
      </c>
      <c r="C196" s="418" t="s">
        <v>1559</v>
      </c>
      <c r="D196" s="563" t="s">
        <v>1030</v>
      </c>
      <c r="E196" s="573"/>
      <c r="F196" s="569" t="s">
        <v>1560</v>
      </c>
      <c r="G196" s="569">
        <v>138</v>
      </c>
      <c r="H196" s="362" t="s">
        <v>1561</v>
      </c>
      <c r="I196" s="362" t="s">
        <v>419</v>
      </c>
      <c r="J196" s="600">
        <v>87207.54</v>
      </c>
      <c r="K196" s="412" t="s">
        <v>1562</v>
      </c>
      <c r="L196" s="362" t="s">
        <v>1492</v>
      </c>
      <c r="M196" s="412" t="s">
        <v>926</v>
      </c>
      <c r="N196" s="569" t="s">
        <v>511</v>
      </c>
    </row>
    <row r="197" spans="1:14" ht="60">
      <c r="A197" s="406">
        <v>193</v>
      </c>
      <c r="B197" s="362" t="s">
        <v>1506</v>
      </c>
      <c r="C197" s="418" t="s">
        <v>1487</v>
      </c>
      <c r="D197" s="419" t="s">
        <v>1006</v>
      </c>
      <c r="E197" s="419" t="s">
        <v>1006</v>
      </c>
      <c r="F197" s="378" t="s">
        <v>1507</v>
      </c>
      <c r="G197" s="378">
        <v>138</v>
      </c>
      <c r="H197" s="429" t="s">
        <v>1508</v>
      </c>
      <c r="I197" s="429" t="s">
        <v>419</v>
      </c>
      <c r="J197" s="362" t="s">
        <v>1509</v>
      </c>
      <c r="K197" s="362"/>
      <c r="L197" s="362" t="s">
        <v>1511</v>
      </c>
      <c r="M197" s="362" t="s">
        <v>1512</v>
      </c>
      <c r="N197" s="431" t="s">
        <v>511</v>
      </c>
    </row>
    <row r="198" spans="1:14" ht="60">
      <c r="A198" s="406">
        <v>207</v>
      </c>
      <c r="B198" s="412" t="s">
        <v>897</v>
      </c>
      <c r="C198" s="418" t="s">
        <v>504</v>
      </c>
      <c r="D198" s="563" t="s">
        <v>504</v>
      </c>
      <c r="E198" s="573"/>
      <c r="F198" s="569" t="s">
        <v>1580</v>
      </c>
      <c r="G198" s="569">
        <v>138</v>
      </c>
      <c r="H198" s="429" t="s">
        <v>1581</v>
      </c>
      <c r="I198" s="456" t="s">
        <v>499</v>
      </c>
      <c r="J198" s="569" t="s">
        <v>1250</v>
      </c>
      <c r="K198" s="412" t="s">
        <v>1582</v>
      </c>
      <c r="L198" s="362" t="s">
        <v>1583</v>
      </c>
      <c r="M198" s="412" t="s">
        <v>853</v>
      </c>
      <c r="N198" s="569" t="s">
        <v>511</v>
      </c>
    </row>
    <row r="199" spans="1:14" ht="60">
      <c r="A199" s="406">
        <v>208</v>
      </c>
      <c r="B199" s="412" t="s">
        <v>1584</v>
      </c>
      <c r="C199" s="418" t="s">
        <v>504</v>
      </c>
      <c r="D199" s="563" t="s">
        <v>504</v>
      </c>
      <c r="E199" s="573"/>
      <c r="F199" s="599"/>
      <c r="G199" s="569">
        <v>138</v>
      </c>
      <c r="H199" s="429" t="s">
        <v>1585</v>
      </c>
      <c r="I199" s="456" t="s">
        <v>499</v>
      </c>
      <c r="J199" s="569" t="s">
        <v>1245</v>
      </c>
      <c r="K199" s="412" t="s">
        <v>1582</v>
      </c>
      <c r="L199" s="362" t="s">
        <v>1583</v>
      </c>
      <c r="M199" s="412" t="s">
        <v>853</v>
      </c>
      <c r="N199" s="569" t="s">
        <v>511</v>
      </c>
    </row>
    <row r="200" spans="1:14" ht="90">
      <c r="A200" s="406">
        <v>196</v>
      </c>
      <c r="B200" s="362" t="s">
        <v>1265</v>
      </c>
      <c r="C200" s="418" t="s">
        <v>1522</v>
      </c>
      <c r="D200" s="419" t="s">
        <v>734</v>
      </c>
      <c r="E200" s="419" t="s">
        <v>734</v>
      </c>
      <c r="F200" s="456" t="s">
        <v>1523</v>
      </c>
      <c r="G200" s="378">
        <v>138</v>
      </c>
      <c r="H200" s="429" t="s">
        <v>1524</v>
      </c>
      <c r="I200" s="431" t="s">
        <v>499</v>
      </c>
      <c r="J200" s="378" t="s">
        <v>1525</v>
      </c>
      <c r="K200" s="362"/>
      <c r="L200" s="362" t="s">
        <v>1526</v>
      </c>
      <c r="M200" s="362" t="s">
        <v>1084</v>
      </c>
      <c r="N200" s="431" t="s">
        <v>511</v>
      </c>
    </row>
    <row r="201" spans="1:14" ht="60">
      <c r="A201" s="406">
        <v>197</v>
      </c>
      <c r="B201" s="407" t="s">
        <v>1527</v>
      </c>
      <c r="C201" s="418" t="s">
        <v>1466</v>
      </c>
      <c r="D201" s="419" t="s">
        <v>847</v>
      </c>
      <c r="E201" s="419" t="s">
        <v>847</v>
      </c>
      <c r="F201" s="456" t="s">
        <v>1528</v>
      </c>
      <c r="G201" s="378">
        <v>138</v>
      </c>
      <c r="H201" s="429" t="s">
        <v>1529</v>
      </c>
      <c r="I201" s="429" t="s">
        <v>419</v>
      </c>
      <c r="J201" s="378" t="s">
        <v>1530</v>
      </c>
      <c r="K201" s="362"/>
      <c r="L201" s="378" t="s">
        <v>1532</v>
      </c>
      <c r="M201" s="429" t="s">
        <v>1533</v>
      </c>
      <c r="N201" s="431" t="s">
        <v>511</v>
      </c>
    </row>
    <row r="202" spans="1:14" ht="60">
      <c r="A202" s="406">
        <v>198</v>
      </c>
      <c r="B202" s="407" t="s">
        <v>1527</v>
      </c>
      <c r="C202" s="418" t="s">
        <v>1466</v>
      </c>
      <c r="D202" s="419" t="s">
        <v>847</v>
      </c>
      <c r="E202" s="419" t="s">
        <v>847</v>
      </c>
      <c r="F202" s="456" t="s">
        <v>1534</v>
      </c>
      <c r="G202" s="378">
        <v>138</v>
      </c>
      <c r="H202" s="429" t="s">
        <v>1535</v>
      </c>
      <c r="I202" s="429" t="s">
        <v>419</v>
      </c>
      <c r="J202" s="477">
        <v>52765</v>
      </c>
      <c r="K202" s="362"/>
      <c r="L202" s="378" t="s">
        <v>1532</v>
      </c>
      <c r="M202" s="429" t="s">
        <v>1533</v>
      </c>
      <c r="N202" s="431" t="s">
        <v>511</v>
      </c>
    </row>
    <row r="203" spans="1:14" ht="60">
      <c r="A203" s="406">
        <v>199</v>
      </c>
      <c r="B203" s="406" t="s">
        <v>1536</v>
      </c>
      <c r="C203" s="418" t="s">
        <v>1537</v>
      </c>
      <c r="D203" s="419" t="s">
        <v>666</v>
      </c>
      <c r="E203" s="419" t="s">
        <v>666</v>
      </c>
      <c r="F203" s="456" t="s">
        <v>1538</v>
      </c>
      <c r="G203" s="378">
        <v>138</v>
      </c>
      <c r="H203" s="429" t="s">
        <v>1539</v>
      </c>
      <c r="I203" s="431" t="s">
        <v>499</v>
      </c>
      <c r="J203" s="378" t="s">
        <v>1540</v>
      </c>
      <c r="K203" s="362"/>
      <c r="L203" s="362" t="s">
        <v>1542</v>
      </c>
      <c r="M203" s="406" t="s">
        <v>1543</v>
      </c>
      <c r="N203" s="431" t="s">
        <v>1544</v>
      </c>
    </row>
    <row r="204" spans="1:14" ht="75">
      <c r="A204" s="406">
        <v>200</v>
      </c>
      <c r="B204" s="362" t="s">
        <v>1545</v>
      </c>
      <c r="C204" s="418" t="s">
        <v>1537</v>
      </c>
      <c r="D204" s="419" t="s">
        <v>666</v>
      </c>
      <c r="E204" s="419" t="s">
        <v>666</v>
      </c>
      <c r="F204" s="378" t="s">
        <v>958</v>
      </c>
      <c r="G204" s="378">
        <v>138</v>
      </c>
      <c r="H204" s="362" t="s">
        <v>1546</v>
      </c>
      <c r="I204" s="378" t="s">
        <v>499</v>
      </c>
      <c r="J204" s="378" t="s">
        <v>1547</v>
      </c>
      <c r="K204" s="362"/>
      <c r="L204" s="362" t="s">
        <v>1542</v>
      </c>
      <c r="M204" s="406" t="s">
        <v>1543</v>
      </c>
      <c r="N204" s="378" t="s">
        <v>1544</v>
      </c>
    </row>
    <row r="205" spans="1:14" ht="60">
      <c r="A205" s="406">
        <v>201</v>
      </c>
      <c r="B205" s="362" t="s">
        <v>1549</v>
      </c>
      <c r="C205" s="418" t="s">
        <v>1537</v>
      </c>
      <c r="D205" s="419" t="s">
        <v>666</v>
      </c>
      <c r="E205" s="419" t="s">
        <v>666</v>
      </c>
      <c r="F205" s="378" t="s">
        <v>950</v>
      </c>
      <c r="G205" s="378">
        <v>138</v>
      </c>
      <c r="H205" s="362" t="s">
        <v>1550</v>
      </c>
      <c r="I205" s="378" t="s">
        <v>499</v>
      </c>
      <c r="J205" s="378" t="s">
        <v>1551</v>
      </c>
      <c r="K205" s="362"/>
      <c r="L205" s="362" t="s">
        <v>1542</v>
      </c>
      <c r="M205" s="406" t="s">
        <v>1543</v>
      </c>
      <c r="N205" s="378" t="s">
        <v>1544</v>
      </c>
    </row>
    <row r="206" spans="1:14" ht="60">
      <c r="A206" s="406">
        <v>202</v>
      </c>
      <c r="B206" s="362" t="s">
        <v>1552</v>
      </c>
      <c r="C206" s="418" t="s">
        <v>666</v>
      </c>
      <c r="D206" s="419" t="s">
        <v>666</v>
      </c>
      <c r="E206" s="419" t="s">
        <v>666</v>
      </c>
      <c r="F206" s="378" t="s">
        <v>1553</v>
      </c>
      <c r="G206" s="378">
        <v>138</v>
      </c>
      <c r="H206" s="362" t="s">
        <v>1554</v>
      </c>
      <c r="I206" s="378" t="s">
        <v>499</v>
      </c>
      <c r="J206" s="362" t="s">
        <v>1555</v>
      </c>
      <c r="K206" s="362"/>
      <c r="L206" s="362" t="s">
        <v>1557</v>
      </c>
      <c r="M206" s="406" t="s">
        <v>1558</v>
      </c>
      <c r="N206" s="378" t="s">
        <v>1357</v>
      </c>
    </row>
    <row r="207" spans="1:14" ht="75">
      <c r="A207" s="406">
        <v>209</v>
      </c>
      <c r="B207" s="412" t="s">
        <v>1586</v>
      </c>
      <c r="C207" s="418" t="s">
        <v>1499</v>
      </c>
      <c r="D207" s="563" t="s">
        <v>1499</v>
      </c>
      <c r="E207" s="573"/>
      <c r="F207" s="569" t="s">
        <v>1587</v>
      </c>
      <c r="G207" s="569">
        <v>138</v>
      </c>
      <c r="H207" s="429" t="s">
        <v>1588</v>
      </c>
      <c r="I207" s="456" t="s">
        <v>499</v>
      </c>
      <c r="J207" s="569" t="s">
        <v>1589</v>
      </c>
      <c r="K207" s="412" t="s">
        <v>1582</v>
      </c>
      <c r="L207" s="362" t="s">
        <v>1567</v>
      </c>
      <c r="M207" s="562" t="s">
        <v>1590</v>
      </c>
      <c r="N207" s="569" t="s">
        <v>1461</v>
      </c>
    </row>
    <row r="208" spans="1:14" ht="75">
      <c r="A208" s="406">
        <v>204</v>
      </c>
      <c r="B208" s="362" t="s">
        <v>1563</v>
      </c>
      <c r="C208" s="418" t="s">
        <v>1215</v>
      </c>
      <c r="D208" s="419" t="s">
        <v>1215</v>
      </c>
      <c r="E208" s="419" t="s">
        <v>1215</v>
      </c>
      <c r="F208" s="378" t="s">
        <v>1564</v>
      </c>
      <c r="G208" s="378"/>
      <c r="H208" s="362" t="s">
        <v>1565</v>
      </c>
      <c r="I208" s="378" t="s">
        <v>499</v>
      </c>
      <c r="J208" s="378" t="s">
        <v>1566</v>
      </c>
      <c r="K208" s="378"/>
      <c r="L208" s="362" t="s">
        <v>1567</v>
      </c>
      <c r="M208" s="362" t="s">
        <v>1568</v>
      </c>
      <c r="N208" s="378" t="s">
        <v>1205</v>
      </c>
    </row>
    <row r="209" spans="1:14" ht="60">
      <c r="A209" s="406">
        <v>210</v>
      </c>
      <c r="B209" s="412" t="s">
        <v>1591</v>
      </c>
      <c r="C209" s="418" t="s">
        <v>1592</v>
      </c>
      <c r="D209" s="563" t="s">
        <v>1593</v>
      </c>
      <c r="E209" s="573"/>
      <c r="F209" s="569" t="s">
        <v>1594</v>
      </c>
      <c r="G209" s="569">
        <v>138</v>
      </c>
      <c r="H209" s="429" t="s">
        <v>1595</v>
      </c>
      <c r="I209" s="456" t="s">
        <v>430</v>
      </c>
      <c r="J209" s="598">
        <v>50000</v>
      </c>
      <c r="K209" s="412" t="s">
        <v>1596</v>
      </c>
      <c r="L209" s="362" t="s">
        <v>1597</v>
      </c>
      <c r="M209" s="562" t="s">
        <v>1598</v>
      </c>
      <c r="N209" s="569" t="s">
        <v>1461</v>
      </c>
    </row>
    <row r="210" spans="1:14" ht="75">
      <c r="A210" s="406">
        <v>211</v>
      </c>
      <c r="B210" s="412" t="s">
        <v>1599</v>
      </c>
      <c r="C210" s="418" t="s">
        <v>1592</v>
      </c>
      <c r="D210" s="563" t="s">
        <v>1593</v>
      </c>
      <c r="E210" s="573"/>
      <c r="F210" s="569" t="s">
        <v>1600</v>
      </c>
      <c r="G210" s="569">
        <v>138</v>
      </c>
      <c r="H210" s="429" t="s">
        <v>1601</v>
      </c>
      <c r="I210" s="456" t="s">
        <v>430</v>
      </c>
      <c r="J210" s="598">
        <v>50000</v>
      </c>
      <c r="K210" s="412" t="s">
        <v>1596</v>
      </c>
      <c r="L210" s="362" t="s">
        <v>1597</v>
      </c>
      <c r="M210" s="562" t="s">
        <v>1598</v>
      </c>
      <c r="N210" s="569" t="s">
        <v>1461</v>
      </c>
    </row>
    <row r="211" spans="1:14" ht="75" hidden="1">
      <c r="A211" s="406">
        <v>213</v>
      </c>
      <c r="B211" s="412" t="s">
        <v>1609</v>
      </c>
      <c r="C211" s="418" t="s">
        <v>1603</v>
      </c>
      <c r="D211" s="563" t="s">
        <v>1603</v>
      </c>
      <c r="E211" s="581"/>
      <c r="F211" s="569" t="s">
        <v>1610</v>
      </c>
      <c r="G211" s="569">
        <v>138</v>
      </c>
      <c r="H211" s="429" t="s">
        <v>1611</v>
      </c>
      <c r="I211" s="456" t="s">
        <v>499</v>
      </c>
      <c r="J211" s="412" t="s">
        <v>1612</v>
      </c>
      <c r="K211" s="412"/>
      <c r="L211" s="362" t="s">
        <v>1608</v>
      </c>
      <c r="M211" s="604"/>
      <c r="N211" s="569" t="s">
        <v>1357</v>
      </c>
    </row>
    <row r="212" spans="1:14" ht="75">
      <c r="A212" s="406">
        <v>214</v>
      </c>
      <c r="B212" s="412" t="s">
        <v>1613</v>
      </c>
      <c r="C212" s="418" t="s">
        <v>1366</v>
      </c>
      <c r="D212" s="563" t="s">
        <v>1366</v>
      </c>
      <c r="E212" s="573"/>
      <c r="F212" s="569" t="s">
        <v>1614</v>
      </c>
      <c r="G212" s="569">
        <v>138</v>
      </c>
      <c r="H212" s="429" t="s">
        <v>1615</v>
      </c>
      <c r="I212" s="456" t="s">
        <v>499</v>
      </c>
      <c r="J212" s="600">
        <v>99303.09</v>
      </c>
      <c r="K212" s="412" t="s">
        <v>1616</v>
      </c>
      <c r="L212" s="362" t="s">
        <v>1617</v>
      </c>
      <c r="M212" s="562" t="s">
        <v>1618</v>
      </c>
      <c r="N212" s="569" t="s">
        <v>1357</v>
      </c>
    </row>
    <row r="213" spans="1:14" ht="90">
      <c r="A213" s="406">
        <v>215</v>
      </c>
      <c r="B213" s="412" t="s">
        <v>1619</v>
      </c>
      <c r="C213" s="418" t="s">
        <v>529</v>
      </c>
      <c r="D213" s="563" t="s">
        <v>529</v>
      </c>
      <c r="E213" s="573"/>
      <c r="F213" s="569" t="s">
        <v>1620</v>
      </c>
      <c r="G213" s="569">
        <v>138</v>
      </c>
      <c r="H213" s="429" t="s">
        <v>1621</v>
      </c>
      <c r="I213" s="456" t="s">
        <v>499</v>
      </c>
      <c r="J213" s="412" t="s">
        <v>1622</v>
      </c>
      <c r="K213" s="412" t="s">
        <v>1623</v>
      </c>
      <c r="L213" s="362" t="s">
        <v>1624</v>
      </c>
      <c r="M213" s="562" t="s">
        <v>1625</v>
      </c>
      <c r="N213" s="569" t="s">
        <v>1461</v>
      </c>
    </row>
    <row r="214" spans="1:14" ht="90">
      <c r="A214" s="406">
        <v>216</v>
      </c>
      <c r="B214" s="412" t="s">
        <v>1626</v>
      </c>
      <c r="C214" s="418" t="s">
        <v>529</v>
      </c>
      <c r="D214" s="563" t="s">
        <v>529</v>
      </c>
      <c r="E214" s="573"/>
      <c r="F214" s="569" t="s">
        <v>1627</v>
      </c>
      <c r="G214" s="569">
        <v>138</v>
      </c>
      <c r="H214" s="429" t="s">
        <v>1628</v>
      </c>
      <c r="I214" s="456" t="s">
        <v>499</v>
      </c>
      <c r="J214" s="598">
        <v>74261</v>
      </c>
      <c r="K214" s="412" t="s">
        <v>1623</v>
      </c>
      <c r="L214" s="362" t="s">
        <v>1624</v>
      </c>
      <c r="M214" s="562" t="s">
        <v>1625</v>
      </c>
      <c r="N214" s="569" t="s">
        <v>1461</v>
      </c>
    </row>
    <row r="215" spans="1:14" ht="75">
      <c r="A215" s="406">
        <v>217</v>
      </c>
      <c r="B215" s="412" t="s">
        <v>1629</v>
      </c>
      <c r="C215" s="418" t="s">
        <v>871</v>
      </c>
      <c r="D215" s="563" t="s">
        <v>871</v>
      </c>
      <c r="E215" s="573"/>
      <c r="F215" s="569" t="s">
        <v>1630</v>
      </c>
      <c r="G215" s="569">
        <v>138</v>
      </c>
      <c r="H215" s="429" t="s">
        <v>1631</v>
      </c>
      <c r="I215" s="456" t="s">
        <v>499</v>
      </c>
      <c r="J215" s="569" t="s">
        <v>1632</v>
      </c>
      <c r="K215" s="412" t="s">
        <v>1633</v>
      </c>
      <c r="L215" s="362" t="s">
        <v>1617</v>
      </c>
      <c r="M215" s="412" t="s">
        <v>1634</v>
      </c>
      <c r="N215" s="569" t="s">
        <v>511</v>
      </c>
    </row>
    <row r="216" spans="1:14" ht="75" hidden="1">
      <c r="A216" s="406">
        <v>212</v>
      </c>
      <c r="B216" s="362" t="s">
        <v>1602</v>
      </c>
      <c r="C216" s="418" t="s">
        <v>1603</v>
      </c>
      <c r="D216" s="419" t="s">
        <v>1603</v>
      </c>
      <c r="E216" s="419" t="s">
        <v>1603</v>
      </c>
      <c r="F216" s="456" t="s">
        <v>1604</v>
      </c>
      <c r="G216" s="378">
        <v>138</v>
      </c>
      <c r="H216" s="429" t="s">
        <v>1605</v>
      </c>
      <c r="I216" s="456" t="s">
        <v>499</v>
      </c>
      <c r="J216" s="362" t="s">
        <v>1606</v>
      </c>
      <c r="K216" s="362"/>
      <c r="L216" s="362" t="s">
        <v>1608</v>
      </c>
      <c r="M216" s="378"/>
      <c r="N216" s="456" t="s">
        <v>1357</v>
      </c>
    </row>
    <row r="217" spans="1:14" ht="75">
      <c r="A217" s="406">
        <v>218</v>
      </c>
      <c r="B217" s="412" t="s">
        <v>1635</v>
      </c>
      <c r="C217" s="418" t="s">
        <v>871</v>
      </c>
      <c r="D217" s="563" t="s">
        <v>871</v>
      </c>
      <c r="E217" s="573"/>
      <c r="F217" s="569" t="s">
        <v>1636</v>
      </c>
      <c r="G217" s="569">
        <v>138</v>
      </c>
      <c r="H217" s="429" t="s">
        <v>1637</v>
      </c>
      <c r="I217" s="456" t="s">
        <v>499</v>
      </c>
      <c r="J217" s="569" t="s">
        <v>1638</v>
      </c>
      <c r="K217" s="412" t="s">
        <v>1633</v>
      </c>
      <c r="L217" s="362" t="s">
        <v>1617</v>
      </c>
      <c r="M217" s="412" t="s">
        <v>1634</v>
      </c>
      <c r="N217" s="569" t="s">
        <v>511</v>
      </c>
    </row>
    <row r="218" spans="1:14" ht="75">
      <c r="A218" s="406">
        <v>219</v>
      </c>
      <c r="B218" s="412" t="s">
        <v>1639</v>
      </c>
      <c r="C218" s="418" t="s">
        <v>871</v>
      </c>
      <c r="D218" s="563" t="s">
        <v>871</v>
      </c>
      <c r="E218" s="573"/>
      <c r="F218" s="569" t="s">
        <v>1640</v>
      </c>
      <c r="G218" s="569">
        <v>138</v>
      </c>
      <c r="H218" s="429" t="s">
        <v>1641</v>
      </c>
      <c r="I218" s="456" t="s">
        <v>499</v>
      </c>
      <c r="J218" s="569" t="s">
        <v>1642</v>
      </c>
      <c r="K218" s="412" t="s">
        <v>1633</v>
      </c>
      <c r="L218" s="362" t="s">
        <v>1617</v>
      </c>
      <c r="M218" s="412" t="s">
        <v>1634</v>
      </c>
      <c r="N218" s="569" t="s">
        <v>511</v>
      </c>
    </row>
    <row r="219" spans="1:14" ht="90">
      <c r="A219" s="406">
        <v>220</v>
      </c>
      <c r="B219" s="412" t="s">
        <v>1643</v>
      </c>
      <c r="C219" s="418" t="s">
        <v>529</v>
      </c>
      <c r="D219" s="563" t="s">
        <v>529</v>
      </c>
      <c r="E219" s="573"/>
      <c r="F219" s="569" t="s">
        <v>1644</v>
      </c>
      <c r="G219" s="569">
        <v>138</v>
      </c>
      <c r="H219" s="429" t="s">
        <v>1645</v>
      </c>
      <c r="I219" s="456" t="s">
        <v>499</v>
      </c>
      <c r="J219" s="569" t="s">
        <v>1646</v>
      </c>
      <c r="K219" s="412" t="s">
        <v>1647</v>
      </c>
      <c r="L219" s="362" t="s">
        <v>1624</v>
      </c>
      <c r="M219" s="562" t="s">
        <v>1625</v>
      </c>
      <c r="N219" s="569" t="s">
        <v>1461</v>
      </c>
    </row>
    <row r="220" spans="1:14" ht="60" hidden="1">
      <c r="A220" s="406">
        <v>162</v>
      </c>
      <c r="B220" s="569" t="s">
        <v>1364</v>
      </c>
      <c r="C220" s="418" t="s">
        <v>1365</v>
      </c>
      <c r="D220" s="563" t="s">
        <v>1366</v>
      </c>
      <c r="E220" s="581"/>
      <c r="F220" s="412" t="s">
        <v>1367</v>
      </c>
      <c r="G220" s="605"/>
      <c r="H220" s="378"/>
      <c r="I220" s="456" t="s">
        <v>430</v>
      </c>
      <c r="J220" s="569"/>
      <c r="K220" s="412" t="s">
        <v>1368</v>
      </c>
      <c r="L220" s="407" t="s">
        <v>1369</v>
      </c>
      <c r="M220" s="604"/>
      <c r="N220" s="567" t="s">
        <v>1370</v>
      </c>
    </row>
    <row r="221" spans="1:14" ht="102" hidden="1">
      <c r="A221" s="406">
        <v>170</v>
      </c>
      <c r="B221" s="562" t="s">
        <v>1405</v>
      </c>
      <c r="C221" s="406" t="s">
        <v>1406</v>
      </c>
      <c r="D221" s="582" t="s">
        <v>1406</v>
      </c>
      <c r="E221" s="591"/>
      <c r="F221" s="562" t="s">
        <v>1407</v>
      </c>
      <c r="G221" s="605"/>
      <c r="H221" s="406">
        <v>399626</v>
      </c>
      <c r="I221" s="431" t="s">
        <v>499</v>
      </c>
      <c r="J221" s="579" t="s">
        <v>1408</v>
      </c>
      <c r="K221" s="562" t="s">
        <v>1409</v>
      </c>
      <c r="L221" s="475" t="s">
        <v>1410</v>
      </c>
      <c r="M221" s="572"/>
      <c r="N221" s="567" t="s">
        <v>1370</v>
      </c>
    </row>
    <row r="222" spans="1:14" ht="102" hidden="1">
      <c r="A222" s="406">
        <v>171</v>
      </c>
      <c r="B222" s="562" t="s">
        <v>1405</v>
      </c>
      <c r="C222" s="406" t="s">
        <v>1406</v>
      </c>
      <c r="D222" s="582" t="s">
        <v>1406</v>
      </c>
      <c r="E222" s="591"/>
      <c r="F222" s="562" t="s">
        <v>1411</v>
      </c>
      <c r="G222" s="605"/>
      <c r="H222" s="406">
        <v>401500</v>
      </c>
      <c r="I222" s="431" t="s">
        <v>499</v>
      </c>
      <c r="J222" s="579" t="s">
        <v>1412</v>
      </c>
      <c r="K222" s="562" t="s">
        <v>1409</v>
      </c>
      <c r="L222" s="475" t="s">
        <v>1410</v>
      </c>
      <c r="M222" s="572"/>
      <c r="N222" s="567" t="s">
        <v>1370</v>
      </c>
    </row>
    <row r="223" spans="1:14" ht="60" hidden="1">
      <c r="A223" s="406">
        <v>205</v>
      </c>
      <c r="B223" s="412" t="s">
        <v>1569</v>
      </c>
      <c r="C223" s="418" t="s">
        <v>1570</v>
      </c>
      <c r="D223" s="563" t="s">
        <v>1570</v>
      </c>
      <c r="E223" s="581"/>
      <c r="F223" s="604"/>
      <c r="G223" s="606"/>
      <c r="H223" s="362" t="s">
        <v>1571</v>
      </c>
      <c r="I223" s="378" t="s">
        <v>499</v>
      </c>
      <c r="J223" s="569"/>
      <c r="K223" s="412" t="s">
        <v>1572</v>
      </c>
      <c r="L223" s="362" t="s">
        <v>1573</v>
      </c>
      <c r="M223" s="604"/>
      <c r="N223" s="569" t="s">
        <v>1357</v>
      </c>
    </row>
    <row r="224" spans="1:14" ht="60" hidden="1">
      <c r="A224" s="406">
        <v>206</v>
      </c>
      <c r="B224" s="412" t="s">
        <v>1574</v>
      </c>
      <c r="C224" s="418" t="s">
        <v>1575</v>
      </c>
      <c r="D224" s="563" t="s">
        <v>1499</v>
      </c>
      <c r="E224" s="581"/>
      <c r="F224" s="569" t="s">
        <v>1576</v>
      </c>
      <c r="G224" s="606"/>
      <c r="H224" s="429" t="s">
        <v>1577</v>
      </c>
      <c r="I224" s="456" t="s">
        <v>499</v>
      </c>
      <c r="J224" s="569"/>
      <c r="K224" s="569"/>
      <c r="L224" s="362" t="s">
        <v>1578</v>
      </c>
      <c r="M224" s="604"/>
      <c r="N224" s="569" t="s">
        <v>1579</v>
      </c>
    </row>
    <row r="225" spans="1:14" ht="90">
      <c r="A225" s="406">
        <v>221</v>
      </c>
      <c r="B225" s="412" t="s">
        <v>1648</v>
      </c>
      <c r="C225" s="418" t="s">
        <v>529</v>
      </c>
      <c r="D225" s="563" t="s">
        <v>529</v>
      </c>
      <c r="E225" s="573"/>
      <c r="F225" s="569" t="s">
        <v>1649</v>
      </c>
      <c r="G225" s="607"/>
      <c r="H225" s="429" t="s">
        <v>1650</v>
      </c>
      <c r="I225" s="456" t="s">
        <v>499</v>
      </c>
      <c r="J225" s="412" t="s">
        <v>1651</v>
      </c>
      <c r="K225" s="412" t="s">
        <v>1647</v>
      </c>
      <c r="L225" s="362" t="s">
        <v>1624</v>
      </c>
      <c r="M225" s="562" t="s">
        <v>1625</v>
      </c>
      <c r="N225" s="569" t="s">
        <v>1461</v>
      </c>
    </row>
  </sheetData>
  <autoFilter ref="A4:N225">
    <filterColumn colId="12">
      <customFilters>
        <customFilter operator="notEqual" val=" "/>
      </customFilters>
    </filterColumn>
    <sortState ref="A14:N225">
      <sortCondition ref="G4:G225"/>
    </sortState>
  </autoFilter>
  <mergeCells count="1">
    <mergeCell ref="B2:K2"/>
  </mergeCells>
  <pageMargins left="0" right="0" top="7.0000000000000007E-2" bottom="0" header="0.2" footer="0.2"/>
  <pageSetup paperSize="9" scale="85" orientation="landscape" r:id="rId1"/>
</worksheet>
</file>

<file path=xl/worksheets/sheet32.xml><?xml version="1.0" encoding="utf-8"?>
<worksheet xmlns="http://schemas.openxmlformats.org/spreadsheetml/2006/main" xmlns:r="http://schemas.openxmlformats.org/officeDocument/2006/relationships">
  <dimension ref="A1:M325"/>
  <sheetViews>
    <sheetView view="pageBreakPreview" topLeftCell="A307" zoomScale="60" workbookViewId="0">
      <selection activeCell="T146" sqref="T146"/>
    </sheetView>
  </sheetViews>
  <sheetFormatPr defaultColWidth="9.140625" defaultRowHeight="15"/>
  <cols>
    <col min="1" max="1" width="4.140625" style="392" customWidth="1"/>
    <col min="2" max="2" width="28.42578125" style="391" customWidth="1"/>
    <col min="3" max="3" width="27.140625" style="478" customWidth="1"/>
    <col min="4" max="4" width="19" style="393" bestFit="1" customWidth="1"/>
    <col min="5" max="5" width="12.42578125" style="394" customWidth="1"/>
    <col min="6" max="6" width="14.42578125" style="394" hidden="1" customWidth="1"/>
    <col min="7" max="7" width="12.5703125" style="394" hidden="1" customWidth="1"/>
    <col min="8" max="8" width="13" style="143" customWidth="1"/>
    <col min="9" max="9" width="13.7109375" style="388" hidden="1" customWidth="1"/>
    <col min="10" max="10" width="20.7109375" style="390" hidden="1" customWidth="1"/>
    <col min="11" max="11" width="15.7109375" style="388" hidden="1" customWidth="1"/>
    <col min="12" max="12" width="9.140625" style="394" hidden="1" customWidth="1"/>
    <col min="13" max="13" width="11.85546875" style="394" customWidth="1"/>
    <col min="14" max="16384" width="9.140625" style="394"/>
  </cols>
  <sheetData>
    <row r="1" spans="1:13">
      <c r="C1" s="394"/>
      <c r="L1" s="389"/>
    </row>
    <row r="2" spans="1:13" ht="23.25" hidden="1">
      <c r="A2" s="387"/>
      <c r="B2" s="1628" t="s">
        <v>401</v>
      </c>
      <c r="C2" s="1628"/>
      <c r="D2" s="1628"/>
      <c r="E2" s="1628"/>
      <c r="F2" s="1628"/>
      <c r="G2" s="1628"/>
      <c r="H2" s="1628"/>
      <c r="I2" s="1628"/>
      <c r="J2" s="385">
        <f ca="1">TODAY()</f>
        <v>43956</v>
      </c>
      <c r="K2" s="386"/>
      <c r="L2" s="395"/>
    </row>
    <row r="3" spans="1:13" ht="18.75">
      <c r="A3" s="1438" t="s">
        <v>75</v>
      </c>
      <c r="B3" s="1438"/>
      <c r="C3" s="1438"/>
      <c r="D3" s="1438"/>
      <c r="E3" s="1438"/>
      <c r="F3" s="1438"/>
      <c r="G3" s="1438"/>
      <c r="H3" s="1438"/>
      <c r="I3" s="1438"/>
      <c r="J3" s="1438"/>
      <c r="K3" s="1438"/>
      <c r="L3" s="1438"/>
      <c r="M3" s="1438"/>
    </row>
    <row r="4" spans="1:13" ht="15.75">
      <c r="A4" s="1437" t="s">
        <v>164</v>
      </c>
      <c r="B4" s="1437"/>
      <c r="C4" s="1437"/>
      <c r="D4" s="1437"/>
      <c r="E4" s="1437"/>
      <c r="F4" s="1437"/>
      <c r="G4" s="1437"/>
      <c r="H4" s="1437"/>
      <c r="I4" s="1437"/>
      <c r="J4" s="1437"/>
      <c r="K4" s="1437"/>
      <c r="L4" s="1437"/>
      <c r="M4" s="1437"/>
    </row>
    <row r="5" spans="1:13" ht="16.5" thickBot="1">
      <c r="A5" s="1539" t="s">
        <v>165</v>
      </c>
      <c r="B5" s="1539"/>
      <c r="C5" s="1539"/>
      <c r="D5" s="1539"/>
      <c r="E5" s="1539"/>
      <c r="F5" s="1539"/>
      <c r="G5" s="1539"/>
      <c r="H5" s="1539"/>
      <c r="I5" s="1539"/>
      <c r="J5" s="1539"/>
      <c r="K5" s="1539"/>
      <c r="L5" s="1539"/>
      <c r="M5" s="1539"/>
    </row>
    <row r="6" spans="1:13" ht="15.75">
      <c r="A6" s="529" t="s">
        <v>76</v>
      </c>
      <c r="B6" s="530"/>
      <c r="C6" s="530"/>
      <c r="D6" s="1540" t="s">
        <v>258</v>
      </c>
      <c r="E6" s="1540"/>
      <c r="F6" s="1540"/>
      <c r="G6" s="1540"/>
      <c r="H6" s="1540"/>
      <c r="I6" s="1540"/>
      <c r="J6" s="1540"/>
      <c r="K6" s="1540"/>
      <c r="L6" s="1540"/>
      <c r="M6" s="1541"/>
    </row>
    <row r="7" spans="1:13" ht="15.75">
      <c r="A7" s="531" t="s">
        <v>77</v>
      </c>
      <c r="B7" s="532"/>
      <c r="C7" s="532"/>
      <c r="D7" s="1534" t="s">
        <v>366</v>
      </c>
      <c r="E7" s="1534"/>
      <c r="F7" s="1534"/>
      <c r="G7" s="1534"/>
      <c r="H7" s="1534"/>
      <c r="I7" s="1534"/>
      <c r="J7" s="1534"/>
      <c r="K7" s="1534"/>
      <c r="L7" s="1534"/>
      <c r="M7" s="1542"/>
    </row>
    <row r="8" spans="1:13" ht="15.75">
      <c r="A8" s="531" t="s">
        <v>78</v>
      </c>
      <c r="B8" s="532"/>
      <c r="C8" s="532"/>
      <c r="D8" s="1535">
        <v>43133</v>
      </c>
      <c r="E8" s="1535"/>
      <c r="F8" s="1535"/>
      <c r="G8" s="1535"/>
      <c r="H8" s="1535"/>
      <c r="I8" s="1535"/>
      <c r="J8" s="1535"/>
      <c r="K8" s="1535"/>
      <c r="L8" s="1535"/>
      <c r="M8" s="1536"/>
    </row>
    <row r="9" spans="1:13" ht="15.75">
      <c r="A9" s="531" t="s">
        <v>183</v>
      </c>
      <c r="B9" s="532"/>
      <c r="C9" s="532"/>
      <c r="D9" s="1535">
        <v>43314</v>
      </c>
      <c r="E9" s="1535"/>
      <c r="F9" s="1535"/>
      <c r="G9" s="1535"/>
      <c r="H9" s="1535"/>
      <c r="I9" s="1535"/>
      <c r="J9" s="1535"/>
      <c r="K9" s="1535"/>
      <c r="L9" s="1535"/>
      <c r="M9" s="1536"/>
    </row>
    <row r="10" spans="1:13" ht="15.75" hidden="1">
      <c r="A10" s="531" t="s">
        <v>184</v>
      </c>
      <c r="B10" s="532"/>
      <c r="C10" s="532"/>
      <c r="D10" s="1543">
        <v>43014</v>
      </c>
      <c r="E10" s="1543"/>
      <c r="F10" s="1543"/>
      <c r="G10" s="1543"/>
      <c r="H10" s="1543"/>
      <c r="I10" s="1543"/>
      <c r="J10" s="1543"/>
      <c r="K10" s="1543"/>
      <c r="L10" s="1543"/>
      <c r="M10" s="1544"/>
    </row>
    <row r="11" spans="1:13" ht="15.75">
      <c r="A11" s="531" t="s">
        <v>2480</v>
      </c>
      <c r="B11" s="532"/>
      <c r="C11" s="532"/>
      <c r="D11" s="1534" t="s">
        <v>2481</v>
      </c>
      <c r="E11" s="1534"/>
      <c r="F11" s="1534"/>
      <c r="G11" s="1534"/>
      <c r="H11" s="1534"/>
      <c r="I11" s="1534"/>
      <c r="J11" s="1534"/>
      <c r="K11" s="1534"/>
      <c r="L11" s="1534"/>
      <c r="M11" s="1542"/>
    </row>
    <row r="12" spans="1:13" ht="15.75">
      <c r="A12" s="531" t="s">
        <v>98</v>
      </c>
      <c r="B12" s="532"/>
      <c r="C12" s="532"/>
      <c r="D12" s="1535" t="s">
        <v>260</v>
      </c>
      <c r="E12" s="1535"/>
      <c r="F12" s="1535"/>
      <c r="G12" s="1535"/>
      <c r="H12" s="1535"/>
      <c r="I12" s="1535"/>
      <c r="J12" s="1535"/>
      <c r="K12" s="1535"/>
      <c r="L12" s="1535"/>
      <c r="M12" s="1536"/>
    </row>
    <row r="13" spans="1:13" ht="16.5" thickBot="1">
      <c r="A13" s="533" t="s">
        <v>79</v>
      </c>
      <c r="B13" s="534"/>
      <c r="C13" s="534"/>
      <c r="D13" s="1537" t="s">
        <v>110</v>
      </c>
      <c r="E13" s="1537"/>
      <c r="F13" s="1537"/>
      <c r="G13" s="1537"/>
      <c r="H13" s="1537"/>
      <c r="I13" s="1537"/>
      <c r="J13" s="1537"/>
      <c r="K13" s="1537"/>
      <c r="L13" s="1537"/>
      <c r="M13" s="1538"/>
    </row>
    <row r="14" spans="1:13">
      <c r="A14" s="394"/>
      <c r="B14" s="394"/>
      <c r="C14" s="394"/>
      <c r="D14" s="394"/>
      <c r="H14" s="394"/>
      <c r="I14" s="394"/>
      <c r="J14" s="394"/>
      <c r="K14" s="394"/>
    </row>
    <row r="15" spans="1:13" hidden="1">
      <c r="A15" s="394"/>
      <c r="B15" s="394"/>
      <c r="C15" s="394"/>
      <c r="D15" s="394"/>
      <c r="H15" s="394"/>
      <c r="I15" s="394"/>
      <c r="J15" s="394"/>
      <c r="K15" s="394"/>
    </row>
    <row r="16" spans="1:13" hidden="1">
      <c r="A16" s="394"/>
      <c r="B16" s="394"/>
      <c r="C16" s="394"/>
      <c r="D16" s="394"/>
      <c r="H16" s="394"/>
      <c r="I16" s="394"/>
      <c r="J16" s="394"/>
      <c r="K16" s="394"/>
    </row>
    <row r="17" spans="1:13" ht="15.75">
      <c r="A17" s="1420" t="s">
        <v>2541</v>
      </c>
      <c r="B17" s="1420"/>
      <c r="C17" s="1420"/>
      <c r="D17" s="1420"/>
      <c r="E17" s="1420"/>
      <c r="F17" s="1420"/>
      <c r="G17" s="1420"/>
      <c r="H17" s="1420"/>
      <c r="I17" s="1420"/>
      <c r="J17" s="1420"/>
      <c r="K17" s="1420"/>
      <c r="L17" s="1420"/>
      <c r="M17" s="1420"/>
    </row>
    <row r="18" spans="1:13" ht="15.75">
      <c r="A18" s="1420" t="s">
        <v>190</v>
      </c>
      <c r="B18" s="1420"/>
      <c r="C18" s="1420"/>
      <c r="D18" s="1420"/>
      <c r="E18" s="1420"/>
      <c r="F18" s="1420"/>
      <c r="G18" s="1420"/>
      <c r="H18" s="1420"/>
      <c r="I18" s="1420"/>
      <c r="J18" s="1420"/>
      <c r="K18" s="1420"/>
      <c r="L18" s="1420"/>
      <c r="M18" s="1420"/>
    </row>
    <row r="19" spans="1:13">
      <c r="A19" s="394"/>
      <c r="B19" s="394"/>
      <c r="C19" s="394"/>
      <c r="D19" s="394"/>
      <c r="H19" s="394"/>
      <c r="I19" s="394"/>
      <c r="J19" s="394"/>
      <c r="K19" s="394"/>
    </row>
    <row r="20" spans="1:13" ht="45">
      <c r="A20" s="678" t="s">
        <v>402</v>
      </c>
      <c r="B20" s="610" t="s">
        <v>403</v>
      </c>
      <c r="C20" s="610" t="s">
        <v>404</v>
      </c>
      <c r="D20" s="679" t="s">
        <v>2507</v>
      </c>
      <c r="E20" s="610" t="s">
        <v>406</v>
      </c>
      <c r="F20" s="610" t="s">
        <v>407</v>
      </c>
      <c r="G20" s="610" t="s">
        <v>408</v>
      </c>
      <c r="H20" s="610" t="s">
        <v>409</v>
      </c>
      <c r="I20" s="610" t="s">
        <v>410</v>
      </c>
      <c r="J20" s="610" t="s">
        <v>411</v>
      </c>
      <c r="K20" s="610" t="s">
        <v>412</v>
      </c>
      <c r="L20" s="610" t="s">
        <v>413</v>
      </c>
      <c r="M20" s="610" t="s">
        <v>2508</v>
      </c>
    </row>
    <row r="21" spans="1:13" ht="64.5" customHeight="1">
      <c r="A21" s="467">
        <v>1</v>
      </c>
      <c r="B21" s="680" t="s">
        <v>414</v>
      </c>
      <c r="C21" s="681" t="s">
        <v>415</v>
      </c>
      <c r="D21" s="682" t="s">
        <v>416</v>
      </c>
      <c r="E21" s="681" t="s">
        <v>417</v>
      </c>
      <c r="F21" s="683" t="s">
        <v>418</v>
      </c>
      <c r="G21" s="681" t="s">
        <v>419</v>
      </c>
      <c r="H21" s="615" t="s">
        <v>420</v>
      </c>
      <c r="I21" s="612" t="s">
        <v>421</v>
      </c>
      <c r="J21" s="467" t="s">
        <v>422</v>
      </c>
      <c r="K21" s="680" t="s">
        <v>423</v>
      </c>
      <c r="L21" s="680" t="s">
        <v>424</v>
      </c>
      <c r="M21" s="498" t="s">
        <v>2448</v>
      </c>
    </row>
    <row r="22" spans="1:13" ht="60">
      <c r="A22" s="467">
        <v>2</v>
      </c>
      <c r="B22" s="680" t="s">
        <v>425</v>
      </c>
      <c r="C22" s="684" t="s">
        <v>426</v>
      </c>
      <c r="D22" s="685" t="s">
        <v>427</v>
      </c>
      <c r="E22" s="684" t="s">
        <v>428</v>
      </c>
      <c r="F22" s="683" t="s">
        <v>429</v>
      </c>
      <c r="G22" s="686" t="s">
        <v>430</v>
      </c>
      <c r="H22" s="680" t="s">
        <v>431</v>
      </c>
      <c r="I22" s="615"/>
      <c r="J22" s="467" t="s">
        <v>432</v>
      </c>
      <c r="K22" s="680" t="s">
        <v>433</v>
      </c>
      <c r="L22" s="680" t="s">
        <v>424</v>
      </c>
      <c r="M22" s="498" t="s">
        <v>2448</v>
      </c>
    </row>
    <row r="23" spans="1:13" ht="60">
      <c r="A23" s="467">
        <v>3</v>
      </c>
      <c r="B23" s="680" t="s">
        <v>434</v>
      </c>
      <c r="C23" s="683" t="s">
        <v>435</v>
      </c>
      <c r="D23" s="687" t="s">
        <v>436</v>
      </c>
      <c r="E23" s="683" t="s">
        <v>437</v>
      </c>
      <c r="F23" s="683" t="s">
        <v>438</v>
      </c>
      <c r="G23" s="686" t="s">
        <v>439</v>
      </c>
      <c r="H23" s="536" t="s">
        <v>440</v>
      </c>
      <c r="I23" s="615"/>
      <c r="J23" s="615" t="s">
        <v>441</v>
      </c>
      <c r="K23" s="680" t="s">
        <v>442</v>
      </c>
      <c r="L23" s="680" t="s">
        <v>424</v>
      </c>
      <c r="M23" s="498" t="s">
        <v>2448</v>
      </c>
    </row>
    <row r="24" spans="1:13" ht="60">
      <c r="A24" s="467">
        <v>4</v>
      </c>
      <c r="B24" s="467" t="s">
        <v>443</v>
      </c>
      <c r="C24" s="686" t="s">
        <v>444</v>
      </c>
      <c r="D24" s="685" t="s">
        <v>445</v>
      </c>
      <c r="E24" s="686" t="s">
        <v>446</v>
      </c>
      <c r="F24" s="683" t="s">
        <v>447</v>
      </c>
      <c r="G24" s="681" t="s">
        <v>419</v>
      </c>
      <c r="H24" s="467" t="s">
        <v>448</v>
      </c>
      <c r="I24" s="528" t="s">
        <v>449</v>
      </c>
      <c r="J24" s="467" t="s">
        <v>432</v>
      </c>
      <c r="K24" s="680" t="s">
        <v>450</v>
      </c>
      <c r="L24" s="680" t="s">
        <v>424</v>
      </c>
      <c r="M24" s="498" t="s">
        <v>2448</v>
      </c>
    </row>
    <row r="25" spans="1:13" ht="60">
      <c r="A25" s="467">
        <v>5</v>
      </c>
      <c r="B25" s="680" t="s">
        <v>451</v>
      </c>
      <c r="C25" s="686" t="s">
        <v>452</v>
      </c>
      <c r="D25" s="682" t="s">
        <v>453</v>
      </c>
      <c r="E25" s="683" t="s">
        <v>454</v>
      </c>
      <c r="F25" s="683" t="s">
        <v>455</v>
      </c>
      <c r="G25" s="681" t="s">
        <v>419</v>
      </c>
      <c r="H25" s="536" t="s">
        <v>456</v>
      </c>
      <c r="I25" s="615"/>
      <c r="J25" s="467" t="s">
        <v>457</v>
      </c>
      <c r="K25" s="680" t="s">
        <v>423</v>
      </c>
      <c r="L25" s="680" t="s">
        <v>424</v>
      </c>
      <c r="M25" s="498" t="s">
        <v>2448</v>
      </c>
    </row>
    <row r="26" spans="1:13" ht="60">
      <c r="A26" s="467">
        <v>6</v>
      </c>
      <c r="B26" s="467" t="s">
        <v>458</v>
      </c>
      <c r="C26" s="688" t="s">
        <v>459</v>
      </c>
      <c r="D26" s="512" t="s">
        <v>460</v>
      </c>
      <c r="E26" s="689" t="s">
        <v>461</v>
      </c>
      <c r="F26" s="690" t="s">
        <v>462</v>
      </c>
      <c r="G26" s="528" t="s">
        <v>419</v>
      </c>
      <c r="H26" s="691" t="s">
        <v>463</v>
      </c>
      <c r="I26" s="528" t="s">
        <v>449</v>
      </c>
      <c r="J26" s="467" t="s">
        <v>432</v>
      </c>
      <c r="K26" s="680" t="s">
        <v>423</v>
      </c>
      <c r="L26" s="680" t="s">
        <v>424</v>
      </c>
      <c r="M26" s="498" t="s">
        <v>2448</v>
      </c>
    </row>
    <row r="27" spans="1:13" ht="60">
      <c r="A27" s="467">
        <v>7</v>
      </c>
      <c r="B27" s="692" t="s">
        <v>464</v>
      </c>
      <c r="C27" s="686" t="s">
        <v>465</v>
      </c>
      <c r="D27" s="685" t="s">
        <v>466</v>
      </c>
      <c r="E27" s="686" t="s">
        <v>467</v>
      </c>
      <c r="F27" s="681" t="s">
        <v>468</v>
      </c>
      <c r="G27" s="681" t="s">
        <v>419</v>
      </c>
      <c r="H27" s="692" t="s">
        <v>469</v>
      </c>
      <c r="I27" s="615"/>
      <c r="J27" s="467" t="s">
        <v>470</v>
      </c>
      <c r="K27" s="680" t="s">
        <v>471</v>
      </c>
      <c r="L27" s="680" t="s">
        <v>472</v>
      </c>
      <c r="M27" s="498" t="s">
        <v>2448</v>
      </c>
    </row>
    <row r="28" spans="1:13" ht="56.25" customHeight="1">
      <c r="A28" s="467">
        <v>8</v>
      </c>
      <c r="B28" s="467" t="s">
        <v>473</v>
      </c>
      <c r="C28" s="684" t="s">
        <v>474</v>
      </c>
      <c r="D28" s="685" t="s">
        <v>475</v>
      </c>
      <c r="E28" s="684" t="s">
        <v>476</v>
      </c>
      <c r="F28" s="683" t="s">
        <v>477</v>
      </c>
      <c r="G28" s="681" t="s">
        <v>419</v>
      </c>
      <c r="H28" s="693" t="s">
        <v>478</v>
      </c>
      <c r="I28" s="528" t="s">
        <v>449</v>
      </c>
      <c r="J28" s="467" t="s">
        <v>479</v>
      </c>
      <c r="K28" s="680" t="s">
        <v>480</v>
      </c>
      <c r="L28" s="680" t="s">
        <v>424</v>
      </c>
      <c r="M28" s="498" t="s">
        <v>2448</v>
      </c>
    </row>
    <row r="29" spans="1:13" ht="51.75" customHeight="1">
      <c r="A29" s="467">
        <v>9</v>
      </c>
      <c r="B29" s="467" t="s">
        <v>481</v>
      </c>
      <c r="C29" s="694" t="s">
        <v>482</v>
      </c>
      <c r="D29" s="682" t="s">
        <v>416</v>
      </c>
      <c r="E29" s="683" t="s">
        <v>483</v>
      </c>
      <c r="F29" s="683" t="s">
        <v>484</v>
      </c>
      <c r="G29" s="681" t="s">
        <v>419</v>
      </c>
      <c r="H29" s="695" t="s">
        <v>485</v>
      </c>
      <c r="I29" s="615" t="s">
        <v>486</v>
      </c>
      <c r="J29" s="467" t="s">
        <v>487</v>
      </c>
      <c r="K29" s="680" t="s">
        <v>423</v>
      </c>
      <c r="L29" s="680" t="s">
        <v>424</v>
      </c>
      <c r="M29" s="498" t="s">
        <v>2448</v>
      </c>
    </row>
    <row r="30" spans="1:13" ht="60">
      <c r="A30" s="467">
        <v>10</v>
      </c>
      <c r="B30" s="467" t="s">
        <v>488</v>
      </c>
      <c r="C30" s="684" t="s">
        <v>489</v>
      </c>
      <c r="D30" s="685" t="s">
        <v>490</v>
      </c>
      <c r="E30" s="684" t="s">
        <v>491</v>
      </c>
      <c r="F30" s="683" t="s">
        <v>492</v>
      </c>
      <c r="G30" s="681" t="s">
        <v>419</v>
      </c>
      <c r="H30" s="696">
        <v>85184.94</v>
      </c>
      <c r="I30" s="528" t="s">
        <v>449</v>
      </c>
      <c r="J30" s="467" t="s">
        <v>493</v>
      </c>
      <c r="K30" s="680" t="s">
        <v>450</v>
      </c>
      <c r="L30" s="680" t="s">
        <v>424</v>
      </c>
      <c r="M30" s="498" t="s">
        <v>2448</v>
      </c>
    </row>
    <row r="31" spans="1:13" ht="60">
      <c r="A31" s="467">
        <v>11</v>
      </c>
      <c r="B31" s="615" t="s">
        <v>494</v>
      </c>
      <c r="C31" s="684" t="s">
        <v>495</v>
      </c>
      <c r="D31" s="685" t="s">
        <v>721</v>
      </c>
      <c r="E31" s="684" t="s">
        <v>497</v>
      </c>
      <c r="F31" s="683" t="s">
        <v>498</v>
      </c>
      <c r="G31" s="686" t="s">
        <v>629</v>
      </c>
      <c r="H31" s="536" t="s">
        <v>500</v>
      </c>
      <c r="I31" s="528" t="s">
        <v>449</v>
      </c>
      <c r="J31" s="467" t="s">
        <v>457</v>
      </c>
      <c r="K31" s="680" t="s">
        <v>501</v>
      </c>
      <c r="L31" s="680" t="s">
        <v>424</v>
      </c>
      <c r="M31" s="498" t="s">
        <v>2448</v>
      </c>
    </row>
    <row r="32" spans="1:13" ht="59.25" customHeight="1">
      <c r="A32" s="467">
        <v>12</v>
      </c>
      <c r="B32" s="692" t="s">
        <v>502</v>
      </c>
      <c r="C32" s="688" t="s">
        <v>503</v>
      </c>
      <c r="D32" s="512" t="s">
        <v>2509</v>
      </c>
      <c r="E32" s="497" t="s">
        <v>505</v>
      </c>
      <c r="F32" s="528" t="s">
        <v>506</v>
      </c>
      <c r="G32" s="528" t="s">
        <v>629</v>
      </c>
      <c r="H32" s="697" t="s">
        <v>507</v>
      </c>
      <c r="I32" s="615" t="s">
        <v>508</v>
      </c>
      <c r="J32" s="467" t="s">
        <v>509</v>
      </c>
      <c r="K32" s="467" t="s">
        <v>510</v>
      </c>
      <c r="L32" s="467" t="s">
        <v>511</v>
      </c>
      <c r="M32" s="498" t="s">
        <v>2448</v>
      </c>
    </row>
    <row r="33" spans="1:13" ht="60">
      <c r="A33" s="467">
        <v>13</v>
      </c>
      <c r="B33" s="680" t="s">
        <v>512</v>
      </c>
      <c r="C33" s="686" t="s">
        <v>495</v>
      </c>
      <c r="D33" s="685" t="s">
        <v>460</v>
      </c>
      <c r="E33" s="684" t="s">
        <v>513</v>
      </c>
      <c r="F33" s="683" t="s">
        <v>514</v>
      </c>
      <c r="G33" s="681" t="s">
        <v>419</v>
      </c>
      <c r="H33" s="692" t="s">
        <v>515</v>
      </c>
      <c r="I33" s="615"/>
      <c r="J33" s="467" t="s">
        <v>516</v>
      </c>
      <c r="K33" s="680" t="s">
        <v>433</v>
      </c>
      <c r="L33" s="680" t="s">
        <v>424</v>
      </c>
      <c r="M33" s="498" t="s">
        <v>2448</v>
      </c>
    </row>
    <row r="34" spans="1:13" ht="75">
      <c r="A34" s="467">
        <v>14</v>
      </c>
      <c r="B34" s="698" t="s">
        <v>517</v>
      </c>
      <c r="C34" s="688" t="s">
        <v>518</v>
      </c>
      <c r="D34" s="512" t="s">
        <v>519</v>
      </c>
      <c r="E34" s="497" t="s">
        <v>520</v>
      </c>
      <c r="F34" s="528" t="s">
        <v>521</v>
      </c>
      <c r="G34" s="528" t="s">
        <v>419</v>
      </c>
      <c r="H34" s="611">
        <v>43122</v>
      </c>
      <c r="I34" s="528" t="s">
        <v>522</v>
      </c>
      <c r="J34" s="680" t="s">
        <v>523</v>
      </c>
      <c r="K34" s="536"/>
      <c r="L34" s="621" t="s">
        <v>511</v>
      </c>
      <c r="M34" s="498" t="s">
        <v>2448</v>
      </c>
    </row>
    <row r="35" spans="1:13" ht="60">
      <c r="A35" s="467">
        <v>15</v>
      </c>
      <c r="B35" s="680" t="s">
        <v>524</v>
      </c>
      <c r="C35" s="686" t="s">
        <v>495</v>
      </c>
      <c r="D35" s="685" t="s">
        <v>490</v>
      </c>
      <c r="E35" s="684" t="s">
        <v>525</v>
      </c>
      <c r="F35" s="683" t="s">
        <v>526</v>
      </c>
      <c r="G35" s="681" t="s">
        <v>419</v>
      </c>
      <c r="H35" s="680" t="s">
        <v>527</v>
      </c>
      <c r="I35" s="615"/>
      <c r="J35" s="467" t="s">
        <v>516</v>
      </c>
      <c r="K35" s="680" t="s">
        <v>501</v>
      </c>
      <c r="L35" s="680" t="s">
        <v>424</v>
      </c>
      <c r="M35" s="498" t="s">
        <v>2448</v>
      </c>
    </row>
    <row r="36" spans="1:13" ht="75">
      <c r="A36" s="467">
        <v>16</v>
      </c>
      <c r="B36" s="698" t="s">
        <v>528</v>
      </c>
      <c r="C36" s="688" t="s">
        <v>518</v>
      </c>
      <c r="D36" s="512" t="s">
        <v>1209</v>
      </c>
      <c r="E36" s="497" t="s">
        <v>530</v>
      </c>
      <c r="F36" s="528" t="s">
        <v>531</v>
      </c>
      <c r="G36" s="528" t="s">
        <v>629</v>
      </c>
      <c r="H36" s="528" t="s">
        <v>532</v>
      </c>
      <c r="I36" s="528" t="s">
        <v>522</v>
      </c>
      <c r="J36" s="680" t="s">
        <v>523</v>
      </c>
      <c r="K36" s="536"/>
      <c r="L36" s="621" t="s">
        <v>511</v>
      </c>
      <c r="M36" s="498" t="s">
        <v>2448</v>
      </c>
    </row>
    <row r="37" spans="1:13" ht="60">
      <c r="A37" s="467">
        <v>17</v>
      </c>
      <c r="B37" s="467" t="s">
        <v>533</v>
      </c>
      <c r="C37" s="684" t="s">
        <v>495</v>
      </c>
      <c r="D37" s="685" t="s">
        <v>460</v>
      </c>
      <c r="E37" s="684" t="s">
        <v>534</v>
      </c>
      <c r="F37" s="683" t="s">
        <v>535</v>
      </c>
      <c r="G37" s="681" t="s">
        <v>419</v>
      </c>
      <c r="H37" s="467" t="s">
        <v>536</v>
      </c>
      <c r="I37" s="615"/>
      <c r="J37" s="467" t="s">
        <v>516</v>
      </c>
      <c r="K37" s="680" t="s">
        <v>450</v>
      </c>
      <c r="L37" s="680" t="s">
        <v>424</v>
      </c>
      <c r="M37" s="498" t="s">
        <v>2448</v>
      </c>
    </row>
    <row r="38" spans="1:13" ht="60">
      <c r="A38" s="467">
        <v>18</v>
      </c>
      <c r="B38" s="680" t="s">
        <v>537</v>
      </c>
      <c r="C38" s="686" t="s">
        <v>495</v>
      </c>
      <c r="D38" s="685" t="s">
        <v>721</v>
      </c>
      <c r="E38" s="684" t="s">
        <v>538</v>
      </c>
      <c r="F38" s="683" t="s">
        <v>539</v>
      </c>
      <c r="G38" s="686" t="s">
        <v>629</v>
      </c>
      <c r="H38" s="680" t="s">
        <v>540</v>
      </c>
      <c r="I38" s="615"/>
      <c r="J38" s="467" t="s">
        <v>541</v>
      </c>
      <c r="K38" s="680" t="s">
        <v>450</v>
      </c>
      <c r="L38" s="680" t="s">
        <v>424</v>
      </c>
      <c r="M38" s="498" t="s">
        <v>2448</v>
      </c>
    </row>
    <row r="39" spans="1:13" ht="60">
      <c r="A39" s="467">
        <v>19</v>
      </c>
      <c r="B39" s="680" t="s">
        <v>542</v>
      </c>
      <c r="C39" s="686" t="s">
        <v>495</v>
      </c>
      <c r="D39" s="685" t="s">
        <v>460</v>
      </c>
      <c r="E39" s="684" t="s">
        <v>543</v>
      </c>
      <c r="F39" s="683" t="s">
        <v>544</v>
      </c>
      <c r="G39" s="681" t="s">
        <v>419</v>
      </c>
      <c r="H39" s="680" t="s">
        <v>545</v>
      </c>
      <c r="I39" s="615"/>
      <c r="J39" s="467" t="s">
        <v>546</v>
      </c>
      <c r="K39" s="680" t="s">
        <v>547</v>
      </c>
      <c r="L39" s="680" t="s">
        <v>424</v>
      </c>
      <c r="M39" s="498" t="s">
        <v>2448</v>
      </c>
    </row>
    <row r="40" spans="1:13" ht="60">
      <c r="A40" s="467">
        <v>20</v>
      </c>
      <c r="B40" s="615" t="s">
        <v>548</v>
      </c>
      <c r="C40" s="686" t="s">
        <v>495</v>
      </c>
      <c r="D40" s="685" t="s">
        <v>466</v>
      </c>
      <c r="E40" s="684" t="s">
        <v>549</v>
      </c>
      <c r="F40" s="683" t="s">
        <v>550</v>
      </c>
      <c r="G40" s="681" t="s">
        <v>419</v>
      </c>
      <c r="H40" s="680" t="s">
        <v>551</v>
      </c>
      <c r="I40" s="615"/>
      <c r="J40" s="467" t="s">
        <v>541</v>
      </c>
      <c r="K40" s="680" t="s">
        <v>450</v>
      </c>
      <c r="L40" s="680" t="s">
        <v>424</v>
      </c>
      <c r="M40" s="498" t="s">
        <v>2448</v>
      </c>
    </row>
    <row r="41" spans="1:13" ht="60">
      <c r="A41" s="467">
        <v>21</v>
      </c>
      <c r="B41" s="615" t="s">
        <v>552</v>
      </c>
      <c r="C41" s="684" t="s">
        <v>495</v>
      </c>
      <c r="D41" s="685" t="s">
        <v>553</v>
      </c>
      <c r="E41" s="684" t="s">
        <v>554</v>
      </c>
      <c r="F41" s="683" t="s">
        <v>555</v>
      </c>
      <c r="G41" s="681" t="s">
        <v>419</v>
      </c>
      <c r="H41" s="680" t="s">
        <v>556</v>
      </c>
      <c r="I41" s="528" t="s">
        <v>557</v>
      </c>
      <c r="J41" s="467" t="s">
        <v>541</v>
      </c>
      <c r="K41" s="680" t="s">
        <v>450</v>
      </c>
      <c r="L41" s="680" t="s">
        <v>424</v>
      </c>
      <c r="M41" s="498" t="s">
        <v>2448</v>
      </c>
    </row>
    <row r="42" spans="1:13" ht="60">
      <c r="A42" s="467">
        <v>22</v>
      </c>
      <c r="B42" s="680" t="s">
        <v>558</v>
      </c>
      <c r="C42" s="699" t="s">
        <v>559</v>
      </c>
      <c r="D42" s="541" t="s">
        <v>721</v>
      </c>
      <c r="E42" s="699" t="s">
        <v>560</v>
      </c>
      <c r="F42" s="700" t="s">
        <v>561</v>
      </c>
      <c r="G42" s="701" t="s">
        <v>629</v>
      </c>
      <c r="H42" s="680" t="s">
        <v>562</v>
      </c>
      <c r="I42" s="528" t="s">
        <v>449</v>
      </c>
      <c r="J42" s="467" t="s">
        <v>563</v>
      </c>
      <c r="K42" s="680" t="s">
        <v>433</v>
      </c>
      <c r="L42" s="680" t="s">
        <v>424</v>
      </c>
      <c r="M42" s="498" t="s">
        <v>2448</v>
      </c>
    </row>
    <row r="43" spans="1:13" ht="60">
      <c r="A43" s="467">
        <v>23</v>
      </c>
      <c r="B43" s="680" t="s">
        <v>564</v>
      </c>
      <c r="C43" s="699" t="s">
        <v>559</v>
      </c>
      <c r="D43" s="685" t="s">
        <v>655</v>
      </c>
      <c r="E43" s="684" t="s">
        <v>565</v>
      </c>
      <c r="F43" s="683" t="s">
        <v>566</v>
      </c>
      <c r="G43" s="686" t="s">
        <v>629</v>
      </c>
      <c r="H43" s="680" t="s">
        <v>567</v>
      </c>
      <c r="I43" s="528" t="s">
        <v>449</v>
      </c>
      <c r="J43" s="467" t="s">
        <v>563</v>
      </c>
      <c r="K43" s="680" t="s">
        <v>450</v>
      </c>
      <c r="L43" s="680" t="s">
        <v>424</v>
      </c>
      <c r="M43" s="498" t="s">
        <v>2448</v>
      </c>
    </row>
    <row r="44" spans="1:13" ht="60">
      <c r="A44" s="467">
        <v>24</v>
      </c>
      <c r="B44" s="680" t="s">
        <v>568</v>
      </c>
      <c r="C44" s="699" t="s">
        <v>559</v>
      </c>
      <c r="D44" s="685" t="s">
        <v>569</v>
      </c>
      <c r="E44" s="684" t="s">
        <v>570</v>
      </c>
      <c r="F44" s="683" t="s">
        <v>571</v>
      </c>
      <c r="G44" s="684" t="s">
        <v>430</v>
      </c>
      <c r="H44" s="680" t="s">
        <v>572</v>
      </c>
      <c r="I44" s="615"/>
      <c r="J44" s="467" t="s">
        <v>563</v>
      </c>
      <c r="K44" s="680" t="s">
        <v>433</v>
      </c>
      <c r="L44" s="680" t="s">
        <v>424</v>
      </c>
      <c r="M44" s="498" t="s">
        <v>2448</v>
      </c>
    </row>
    <row r="45" spans="1:13" ht="60">
      <c r="A45" s="467">
        <v>25</v>
      </c>
      <c r="B45" s="680" t="s">
        <v>573</v>
      </c>
      <c r="C45" s="684" t="s">
        <v>574</v>
      </c>
      <c r="D45" s="685" t="s">
        <v>575</v>
      </c>
      <c r="E45" s="684" t="s">
        <v>576</v>
      </c>
      <c r="F45" s="681" t="s">
        <v>577</v>
      </c>
      <c r="G45" s="681" t="s">
        <v>419</v>
      </c>
      <c r="H45" s="680" t="s">
        <v>578</v>
      </c>
      <c r="I45" s="528" t="s">
        <v>449</v>
      </c>
      <c r="J45" s="467" t="s">
        <v>563</v>
      </c>
      <c r="K45" s="680" t="s">
        <v>433</v>
      </c>
      <c r="L45" s="680" t="s">
        <v>424</v>
      </c>
      <c r="M45" s="498" t="s">
        <v>2448</v>
      </c>
    </row>
    <row r="46" spans="1:13" ht="75">
      <c r="A46" s="467">
        <v>26</v>
      </c>
      <c r="B46" s="467" t="s">
        <v>579</v>
      </c>
      <c r="C46" s="684" t="s">
        <v>580</v>
      </c>
      <c r="D46" s="685" t="s">
        <v>581</v>
      </c>
      <c r="E46" s="684" t="s">
        <v>582</v>
      </c>
      <c r="F46" s="683" t="s">
        <v>583</v>
      </c>
      <c r="G46" s="681" t="s">
        <v>419</v>
      </c>
      <c r="H46" s="467" t="s">
        <v>584</v>
      </c>
      <c r="I46" s="615"/>
      <c r="J46" s="467" t="s">
        <v>585</v>
      </c>
      <c r="K46" s="467" t="s">
        <v>586</v>
      </c>
      <c r="L46" s="680" t="s">
        <v>424</v>
      </c>
      <c r="M46" s="498" t="s">
        <v>2448</v>
      </c>
    </row>
    <row r="47" spans="1:13" ht="60">
      <c r="A47" s="467">
        <v>27</v>
      </c>
      <c r="B47" s="680" t="s">
        <v>587</v>
      </c>
      <c r="C47" s="684" t="s">
        <v>588</v>
      </c>
      <c r="D47" s="685" t="s">
        <v>466</v>
      </c>
      <c r="E47" s="684" t="s">
        <v>589</v>
      </c>
      <c r="F47" s="683" t="s">
        <v>590</v>
      </c>
      <c r="G47" s="681" t="s">
        <v>419</v>
      </c>
      <c r="H47" s="680" t="s">
        <v>591</v>
      </c>
      <c r="I47" s="615"/>
      <c r="J47" s="467" t="s">
        <v>585</v>
      </c>
      <c r="K47" s="680" t="s">
        <v>433</v>
      </c>
      <c r="L47" s="680" t="s">
        <v>424</v>
      </c>
      <c r="M47" s="498" t="s">
        <v>2448</v>
      </c>
    </row>
    <row r="48" spans="1:13" ht="60">
      <c r="A48" s="467">
        <v>28</v>
      </c>
      <c r="B48" s="680" t="s">
        <v>512</v>
      </c>
      <c r="C48" s="686" t="s">
        <v>588</v>
      </c>
      <c r="D48" s="685" t="s">
        <v>569</v>
      </c>
      <c r="E48" s="684" t="s">
        <v>592</v>
      </c>
      <c r="F48" s="681" t="s">
        <v>593</v>
      </c>
      <c r="G48" s="681" t="s">
        <v>419</v>
      </c>
      <c r="H48" s="680" t="s">
        <v>594</v>
      </c>
      <c r="I48" s="615"/>
      <c r="J48" s="467" t="s">
        <v>585</v>
      </c>
      <c r="K48" s="680" t="s">
        <v>433</v>
      </c>
      <c r="L48" s="680" t="s">
        <v>424</v>
      </c>
      <c r="M48" s="498" t="s">
        <v>2448</v>
      </c>
    </row>
    <row r="49" spans="1:13" ht="60">
      <c r="A49" s="467">
        <v>29</v>
      </c>
      <c r="B49" s="467" t="s">
        <v>595</v>
      </c>
      <c r="C49" s="684" t="s">
        <v>588</v>
      </c>
      <c r="D49" s="685" t="s">
        <v>519</v>
      </c>
      <c r="E49" s="684" t="s">
        <v>596</v>
      </c>
      <c r="F49" s="683" t="s">
        <v>597</v>
      </c>
      <c r="G49" s="681" t="s">
        <v>419</v>
      </c>
      <c r="H49" s="467" t="s">
        <v>598</v>
      </c>
      <c r="I49" s="615"/>
      <c r="J49" s="467" t="s">
        <v>585</v>
      </c>
      <c r="K49" s="680" t="s">
        <v>433</v>
      </c>
      <c r="L49" s="680" t="s">
        <v>424</v>
      </c>
      <c r="M49" s="498" t="s">
        <v>2448</v>
      </c>
    </row>
    <row r="50" spans="1:13" ht="75">
      <c r="A50" s="467">
        <v>30</v>
      </c>
      <c r="B50" s="467" t="s">
        <v>599</v>
      </c>
      <c r="C50" s="686" t="s">
        <v>600</v>
      </c>
      <c r="D50" s="685" t="s">
        <v>460</v>
      </c>
      <c r="E50" s="684" t="s">
        <v>601</v>
      </c>
      <c r="F50" s="683" t="s">
        <v>602</v>
      </c>
      <c r="G50" s="681" t="s">
        <v>603</v>
      </c>
      <c r="H50" s="467" t="s">
        <v>604</v>
      </c>
      <c r="I50" s="528" t="s">
        <v>449</v>
      </c>
      <c r="J50" s="467" t="s">
        <v>493</v>
      </c>
      <c r="K50" s="467" t="s">
        <v>586</v>
      </c>
      <c r="L50" s="680" t="s">
        <v>424</v>
      </c>
      <c r="M50" s="498" t="s">
        <v>2448</v>
      </c>
    </row>
    <row r="51" spans="1:13" ht="60">
      <c r="A51" s="467">
        <v>31</v>
      </c>
      <c r="B51" s="467" t="s">
        <v>605</v>
      </c>
      <c r="C51" s="684" t="s">
        <v>606</v>
      </c>
      <c r="D51" s="682" t="s">
        <v>466</v>
      </c>
      <c r="E51" s="683" t="s">
        <v>607</v>
      </c>
      <c r="F51" s="683" t="s">
        <v>608</v>
      </c>
      <c r="G51" s="681" t="s">
        <v>419</v>
      </c>
      <c r="H51" s="467" t="s">
        <v>609</v>
      </c>
      <c r="I51" s="615"/>
      <c r="J51" s="467" t="s">
        <v>493</v>
      </c>
      <c r="K51" s="680" t="s">
        <v>433</v>
      </c>
      <c r="L51" s="680" t="s">
        <v>424</v>
      </c>
      <c r="M51" s="498" t="s">
        <v>2448</v>
      </c>
    </row>
    <row r="52" spans="1:13" ht="60">
      <c r="A52" s="467">
        <v>32</v>
      </c>
      <c r="B52" s="467" t="s">
        <v>610</v>
      </c>
      <c r="C52" s="684" t="s">
        <v>611</v>
      </c>
      <c r="D52" s="685" t="s">
        <v>519</v>
      </c>
      <c r="E52" s="684" t="s">
        <v>612</v>
      </c>
      <c r="F52" s="683" t="s">
        <v>613</v>
      </c>
      <c r="G52" s="681" t="s">
        <v>419</v>
      </c>
      <c r="H52" s="467" t="s">
        <v>614</v>
      </c>
      <c r="I52" s="528" t="s">
        <v>449</v>
      </c>
      <c r="J52" s="467" t="s">
        <v>432</v>
      </c>
      <c r="K52" s="680" t="s">
        <v>450</v>
      </c>
      <c r="L52" s="680" t="s">
        <v>424</v>
      </c>
      <c r="M52" s="498" t="s">
        <v>2448</v>
      </c>
    </row>
    <row r="53" spans="1:13" ht="60">
      <c r="A53" s="467">
        <v>33</v>
      </c>
      <c r="B53" s="467" t="s">
        <v>615</v>
      </c>
      <c r="C53" s="686" t="s">
        <v>616</v>
      </c>
      <c r="D53" s="685" t="s">
        <v>943</v>
      </c>
      <c r="E53" s="684" t="s">
        <v>618</v>
      </c>
      <c r="F53" s="683" t="s">
        <v>619</v>
      </c>
      <c r="G53" s="681" t="s">
        <v>419</v>
      </c>
      <c r="H53" s="467" t="s">
        <v>620</v>
      </c>
      <c r="I53" s="615"/>
      <c r="J53" s="467" t="s">
        <v>432</v>
      </c>
      <c r="K53" s="680" t="s">
        <v>433</v>
      </c>
      <c r="L53" s="680" t="s">
        <v>424</v>
      </c>
      <c r="M53" s="498" t="s">
        <v>2448</v>
      </c>
    </row>
    <row r="54" spans="1:13" ht="60">
      <c r="A54" s="467">
        <v>34</v>
      </c>
      <c r="B54" s="467" t="s">
        <v>621</v>
      </c>
      <c r="C54" s="688" t="s">
        <v>444</v>
      </c>
      <c r="D54" s="512" t="s">
        <v>475</v>
      </c>
      <c r="E54" s="536" t="s">
        <v>622</v>
      </c>
      <c r="F54" s="615" t="s">
        <v>623</v>
      </c>
      <c r="G54" s="528" t="s">
        <v>419</v>
      </c>
      <c r="H54" s="695" t="s">
        <v>624</v>
      </c>
      <c r="I54" s="528" t="s">
        <v>449</v>
      </c>
      <c r="J54" s="467" t="s">
        <v>432</v>
      </c>
      <c r="K54" s="680" t="s">
        <v>423</v>
      </c>
      <c r="L54" s="680" t="s">
        <v>424</v>
      </c>
      <c r="M54" s="498" t="s">
        <v>2448</v>
      </c>
    </row>
    <row r="55" spans="1:13" ht="63.75" customHeight="1">
      <c r="A55" s="467">
        <v>35</v>
      </c>
      <c r="B55" s="692" t="s">
        <v>625</v>
      </c>
      <c r="C55" s="686" t="s">
        <v>444</v>
      </c>
      <c r="D55" s="685" t="s">
        <v>626</v>
      </c>
      <c r="E55" s="686" t="s">
        <v>627</v>
      </c>
      <c r="F55" s="681" t="s">
        <v>628</v>
      </c>
      <c r="G55" s="681" t="s">
        <v>629</v>
      </c>
      <c r="H55" s="614">
        <v>65000</v>
      </c>
      <c r="I55" s="528" t="s">
        <v>630</v>
      </c>
      <c r="J55" s="698" t="s">
        <v>631</v>
      </c>
      <c r="K55" s="692" t="s">
        <v>632</v>
      </c>
      <c r="L55" s="692" t="s">
        <v>633</v>
      </c>
      <c r="M55" s="498" t="s">
        <v>2448</v>
      </c>
    </row>
    <row r="56" spans="1:13" ht="75">
      <c r="A56" s="467">
        <v>36</v>
      </c>
      <c r="B56" s="467" t="s">
        <v>634</v>
      </c>
      <c r="C56" s="688" t="s">
        <v>635</v>
      </c>
      <c r="D56" s="512" t="s">
        <v>460</v>
      </c>
      <c r="E56" s="512" t="s">
        <v>636</v>
      </c>
      <c r="F56" s="690" t="s">
        <v>637</v>
      </c>
      <c r="G56" s="528" t="s">
        <v>419</v>
      </c>
      <c r="H56" s="702" t="s">
        <v>638</v>
      </c>
      <c r="I56" s="615"/>
      <c r="J56" s="467" t="s">
        <v>432</v>
      </c>
      <c r="K56" s="680" t="s">
        <v>480</v>
      </c>
      <c r="L56" s="680" t="s">
        <v>424</v>
      </c>
      <c r="M56" s="498" t="s">
        <v>2448</v>
      </c>
    </row>
    <row r="57" spans="1:13" ht="60">
      <c r="A57" s="467">
        <v>37</v>
      </c>
      <c r="B57" s="467" t="s">
        <v>639</v>
      </c>
      <c r="C57" s="686" t="s">
        <v>640</v>
      </c>
      <c r="D57" s="685" t="s">
        <v>641</v>
      </c>
      <c r="E57" s="684" t="s">
        <v>642</v>
      </c>
      <c r="F57" s="683" t="s">
        <v>643</v>
      </c>
      <c r="G57" s="681" t="s">
        <v>439</v>
      </c>
      <c r="H57" s="467" t="s">
        <v>644</v>
      </c>
      <c r="I57" s="528" t="s">
        <v>645</v>
      </c>
      <c r="J57" s="467" t="s">
        <v>432</v>
      </c>
      <c r="K57" s="680" t="s">
        <v>433</v>
      </c>
      <c r="L57" s="680" t="s">
        <v>424</v>
      </c>
      <c r="M57" s="498" t="s">
        <v>2448</v>
      </c>
    </row>
    <row r="58" spans="1:13" ht="75">
      <c r="A58" s="467">
        <v>38</v>
      </c>
      <c r="B58" s="467" t="s">
        <v>646</v>
      </c>
      <c r="C58" s="688" t="s">
        <v>647</v>
      </c>
      <c r="D58" s="685" t="s">
        <v>648</v>
      </c>
      <c r="E58" s="684" t="s">
        <v>649</v>
      </c>
      <c r="F58" s="683" t="s">
        <v>650</v>
      </c>
      <c r="G58" s="528" t="s">
        <v>419</v>
      </c>
      <c r="H58" s="702" t="s">
        <v>651</v>
      </c>
      <c r="I58" s="615"/>
      <c r="J58" s="467" t="s">
        <v>652</v>
      </c>
      <c r="K58" s="680" t="s">
        <v>480</v>
      </c>
      <c r="L58" s="680" t="s">
        <v>424</v>
      </c>
      <c r="M58" s="498" t="s">
        <v>2448</v>
      </c>
    </row>
    <row r="59" spans="1:13" ht="60">
      <c r="A59" s="467">
        <v>39</v>
      </c>
      <c r="B59" s="680" t="s">
        <v>653</v>
      </c>
      <c r="C59" s="684" t="s">
        <v>654</v>
      </c>
      <c r="D59" s="685" t="s">
        <v>655</v>
      </c>
      <c r="E59" s="684" t="s">
        <v>656</v>
      </c>
      <c r="F59" s="683" t="s">
        <v>657</v>
      </c>
      <c r="G59" s="681" t="s">
        <v>419</v>
      </c>
      <c r="H59" s="680" t="s">
        <v>658</v>
      </c>
      <c r="I59" s="528" t="s">
        <v>449</v>
      </c>
      <c r="J59" s="467" t="s">
        <v>652</v>
      </c>
      <c r="K59" s="680" t="s">
        <v>547</v>
      </c>
      <c r="L59" s="680" t="s">
        <v>424</v>
      </c>
      <c r="M59" s="498" t="s">
        <v>2448</v>
      </c>
    </row>
    <row r="60" spans="1:13" ht="60">
      <c r="A60" s="467">
        <v>40</v>
      </c>
      <c r="B60" s="680" t="s">
        <v>659</v>
      </c>
      <c r="C60" s="684" t="s">
        <v>654</v>
      </c>
      <c r="D60" s="685" t="s">
        <v>460</v>
      </c>
      <c r="E60" s="684" t="s">
        <v>661</v>
      </c>
      <c r="F60" s="683" t="s">
        <v>662</v>
      </c>
      <c r="G60" s="681" t="s">
        <v>2510</v>
      </c>
      <c r="H60" s="680" t="s">
        <v>663</v>
      </c>
      <c r="I60" s="528" t="s">
        <v>486</v>
      </c>
      <c r="J60" s="467" t="s">
        <v>664</v>
      </c>
      <c r="K60" s="680" t="s">
        <v>450</v>
      </c>
      <c r="L60" s="680" t="s">
        <v>424</v>
      </c>
      <c r="M60" s="498" t="s">
        <v>2448</v>
      </c>
    </row>
    <row r="61" spans="1:13" ht="60">
      <c r="A61" s="467">
        <v>41</v>
      </c>
      <c r="B61" s="680" t="s">
        <v>665</v>
      </c>
      <c r="C61" s="684" t="s">
        <v>654</v>
      </c>
      <c r="D61" s="685" t="s">
        <v>666</v>
      </c>
      <c r="E61" s="684" t="s">
        <v>667</v>
      </c>
      <c r="F61" s="683" t="s">
        <v>668</v>
      </c>
      <c r="G61" s="681" t="s">
        <v>419</v>
      </c>
      <c r="H61" s="680" t="s">
        <v>669</v>
      </c>
      <c r="I61" s="528" t="s">
        <v>449</v>
      </c>
      <c r="J61" s="467" t="s">
        <v>664</v>
      </c>
      <c r="K61" s="680" t="s">
        <v>450</v>
      </c>
      <c r="L61" s="680" t="s">
        <v>424</v>
      </c>
      <c r="M61" s="498" t="s">
        <v>2448</v>
      </c>
    </row>
    <row r="62" spans="1:13" ht="60">
      <c r="A62" s="467">
        <v>42</v>
      </c>
      <c r="B62" s="680" t="s">
        <v>670</v>
      </c>
      <c r="C62" s="686" t="s">
        <v>654</v>
      </c>
      <c r="D62" s="685" t="s">
        <v>460</v>
      </c>
      <c r="E62" s="684" t="s">
        <v>671</v>
      </c>
      <c r="F62" s="683" t="s">
        <v>672</v>
      </c>
      <c r="G62" s="681" t="s">
        <v>419</v>
      </c>
      <c r="H62" s="680" t="s">
        <v>673</v>
      </c>
      <c r="I62" s="528" t="s">
        <v>449</v>
      </c>
      <c r="J62" s="467" t="s">
        <v>664</v>
      </c>
      <c r="K62" s="680" t="s">
        <v>450</v>
      </c>
      <c r="L62" s="680" t="s">
        <v>424</v>
      </c>
      <c r="M62" s="498" t="s">
        <v>2448</v>
      </c>
    </row>
    <row r="63" spans="1:13" ht="60">
      <c r="A63" s="467">
        <v>43</v>
      </c>
      <c r="B63" s="680" t="s">
        <v>674</v>
      </c>
      <c r="C63" s="684" t="s">
        <v>654</v>
      </c>
      <c r="D63" s="685" t="s">
        <v>460</v>
      </c>
      <c r="E63" s="684" t="s">
        <v>675</v>
      </c>
      <c r="F63" s="683" t="s">
        <v>676</v>
      </c>
      <c r="G63" s="681" t="s">
        <v>419</v>
      </c>
      <c r="H63" s="680" t="s">
        <v>677</v>
      </c>
      <c r="I63" s="528" t="s">
        <v>449</v>
      </c>
      <c r="J63" s="467" t="s">
        <v>479</v>
      </c>
      <c r="K63" s="680" t="s">
        <v>450</v>
      </c>
      <c r="L63" s="680" t="s">
        <v>424</v>
      </c>
      <c r="M63" s="498" t="s">
        <v>2448</v>
      </c>
    </row>
    <row r="64" spans="1:13" ht="60">
      <c r="A64" s="467">
        <v>44</v>
      </c>
      <c r="B64" s="680" t="s">
        <v>678</v>
      </c>
      <c r="C64" s="684" t="s">
        <v>654</v>
      </c>
      <c r="D64" s="685" t="s">
        <v>666</v>
      </c>
      <c r="E64" s="684" t="s">
        <v>679</v>
      </c>
      <c r="F64" s="683" t="s">
        <v>680</v>
      </c>
      <c r="G64" s="681" t="s">
        <v>419</v>
      </c>
      <c r="H64" s="680" t="s">
        <v>681</v>
      </c>
      <c r="I64" s="528" t="s">
        <v>449</v>
      </c>
      <c r="J64" s="467" t="s">
        <v>479</v>
      </c>
      <c r="K64" s="680" t="s">
        <v>433</v>
      </c>
      <c r="L64" s="680" t="s">
        <v>424</v>
      </c>
      <c r="M64" s="498" t="s">
        <v>2448</v>
      </c>
    </row>
    <row r="65" spans="1:13" ht="60">
      <c r="A65" s="467">
        <v>45</v>
      </c>
      <c r="B65" s="680" t="s">
        <v>682</v>
      </c>
      <c r="C65" s="684" t="s">
        <v>654</v>
      </c>
      <c r="D65" s="685" t="s">
        <v>460</v>
      </c>
      <c r="E65" s="684" t="s">
        <v>683</v>
      </c>
      <c r="F65" s="683" t="s">
        <v>684</v>
      </c>
      <c r="G65" s="681" t="s">
        <v>419</v>
      </c>
      <c r="H65" s="680" t="s">
        <v>685</v>
      </c>
      <c r="I65" s="528" t="s">
        <v>449</v>
      </c>
      <c r="J65" s="467" t="s">
        <v>479</v>
      </c>
      <c r="K65" s="680" t="s">
        <v>433</v>
      </c>
      <c r="L65" s="680" t="s">
        <v>424</v>
      </c>
      <c r="M65" s="498" t="s">
        <v>2448</v>
      </c>
    </row>
    <row r="66" spans="1:13" ht="60">
      <c r="A66" s="467">
        <v>46</v>
      </c>
      <c r="B66" s="680" t="s">
        <v>682</v>
      </c>
      <c r="C66" s="684" t="s">
        <v>654</v>
      </c>
      <c r="D66" s="685" t="s">
        <v>553</v>
      </c>
      <c r="E66" s="684" t="s">
        <v>686</v>
      </c>
      <c r="F66" s="683" t="s">
        <v>687</v>
      </c>
      <c r="G66" s="681" t="s">
        <v>419</v>
      </c>
      <c r="H66" s="680" t="s">
        <v>688</v>
      </c>
      <c r="I66" s="615"/>
      <c r="J66" s="467" t="s">
        <v>479</v>
      </c>
      <c r="K66" s="680" t="s">
        <v>547</v>
      </c>
      <c r="L66" s="680" t="s">
        <v>424</v>
      </c>
      <c r="M66" s="498" t="s">
        <v>2448</v>
      </c>
    </row>
    <row r="67" spans="1:13" ht="52.5" customHeight="1">
      <c r="A67" s="467">
        <v>47</v>
      </c>
      <c r="B67" s="692" t="s">
        <v>689</v>
      </c>
      <c r="C67" s="686" t="s">
        <v>690</v>
      </c>
      <c r="D67" s="685" t="s">
        <v>691</v>
      </c>
      <c r="E67" s="686" t="s">
        <v>692</v>
      </c>
      <c r="F67" s="681" t="s">
        <v>693</v>
      </c>
      <c r="G67" s="686" t="s">
        <v>439</v>
      </c>
      <c r="H67" s="617" t="s">
        <v>694</v>
      </c>
      <c r="I67" s="615"/>
      <c r="J67" s="680" t="s">
        <v>695</v>
      </c>
      <c r="K67" s="680"/>
      <c r="L67" s="680" t="s">
        <v>511</v>
      </c>
      <c r="M67" s="498" t="s">
        <v>2448</v>
      </c>
    </row>
    <row r="68" spans="1:13" ht="75">
      <c r="A68" s="467">
        <v>48</v>
      </c>
      <c r="B68" s="467" t="s">
        <v>696</v>
      </c>
      <c r="C68" s="684" t="s">
        <v>654</v>
      </c>
      <c r="D68" s="685" t="s">
        <v>697</v>
      </c>
      <c r="E68" s="684" t="s">
        <v>698</v>
      </c>
      <c r="F68" s="683" t="s">
        <v>699</v>
      </c>
      <c r="G68" s="681" t="s">
        <v>439</v>
      </c>
      <c r="H68" s="702" t="s">
        <v>700</v>
      </c>
      <c r="I68" s="528" t="s">
        <v>449</v>
      </c>
      <c r="J68" s="467" t="s">
        <v>479</v>
      </c>
      <c r="K68" s="680" t="s">
        <v>480</v>
      </c>
      <c r="L68" s="680" t="s">
        <v>424</v>
      </c>
      <c r="M68" s="498" t="s">
        <v>2448</v>
      </c>
    </row>
    <row r="69" spans="1:13" ht="60">
      <c r="A69" s="467">
        <v>49</v>
      </c>
      <c r="B69" s="680" t="s">
        <v>701</v>
      </c>
      <c r="C69" s="684" t="s">
        <v>474</v>
      </c>
      <c r="D69" s="685" t="s">
        <v>416</v>
      </c>
      <c r="E69" s="684" t="s">
        <v>702</v>
      </c>
      <c r="F69" s="683" t="s">
        <v>703</v>
      </c>
      <c r="G69" s="681" t="s">
        <v>419</v>
      </c>
      <c r="H69" s="680" t="s">
        <v>704</v>
      </c>
      <c r="I69" s="615"/>
      <c r="J69" s="467" t="s">
        <v>479</v>
      </c>
      <c r="K69" s="680" t="s">
        <v>450</v>
      </c>
      <c r="L69" s="680" t="s">
        <v>424</v>
      </c>
      <c r="M69" s="498" t="s">
        <v>2448</v>
      </c>
    </row>
    <row r="70" spans="1:13" ht="49.5" customHeight="1">
      <c r="A70" s="467">
        <v>50</v>
      </c>
      <c r="B70" s="467" t="s">
        <v>705</v>
      </c>
      <c r="C70" s="684" t="s">
        <v>474</v>
      </c>
      <c r="D70" s="685" t="s">
        <v>416</v>
      </c>
      <c r="E70" s="684" t="s">
        <v>706</v>
      </c>
      <c r="F70" s="683" t="s">
        <v>707</v>
      </c>
      <c r="G70" s="681" t="s">
        <v>419</v>
      </c>
      <c r="H70" s="621" t="s">
        <v>708</v>
      </c>
      <c r="I70" s="615"/>
      <c r="J70" s="467" t="s">
        <v>479</v>
      </c>
      <c r="K70" s="680" t="s">
        <v>450</v>
      </c>
      <c r="L70" s="680" t="s">
        <v>424</v>
      </c>
      <c r="M70" s="498" t="s">
        <v>2448</v>
      </c>
    </row>
    <row r="71" spans="1:13" ht="48" customHeight="1">
      <c r="A71" s="467">
        <v>51</v>
      </c>
      <c r="B71" s="467" t="s">
        <v>709</v>
      </c>
      <c r="C71" s="684" t="s">
        <v>710</v>
      </c>
      <c r="D71" s="685" t="s">
        <v>460</v>
      </c>
      <c r="E71" s="684" t="s">
        <v>711</v>
      </c>
      <c r="F71" s="683" t="s">
        <v>712</v>
      </c>
      <c r="G71" s="681" t="s">
        <v>419</v>
      </c>
      <c r="H71" s="696">
        <v>66731.78</v>
      </c>
      <c r="I71" s="528" t="s">
        <v>449</v>
      </c>
      <c r="J71" s="467" t="s">
        <v>664</v>
      </c>
      <c r="K71" s="467" t="s">
        <v>586</v>
      </c>
      <c r="L71" s="680" t="s">
        <v>424</v>
      </c>
      <c r="M71" s="498" t="s">
        <v>2448</v>
      </c>
    </row>
    <row r="72" spans="1:13" ht="60">
      <c r="A72" s="467">
        <v>52</v>
      </c>
      <c r="B72" s="467" t="s">
        <v>713</v>
      </c>
      <c r="C72" s="684" t="s">
        <v>710</v>
      </c>
      <c r="D72" s="685" t="s">
        <v>714</v>
      </c>
      <c r="E72" s="684" t="s">
        <v>715</v>
      </c>
      <c r="F72" s="690" t="s">
        <v>716</v>
      </c>
      <c r="G72" s="681" t="s">
        <v>419</v>
      </c>
      <c r="H72" s="467" t="s">
        <v>717</v>
      </c>
      <c r="I72" s="528" t="s">
        <v>449</v>
      </c>
      <c r="J72" s="467" t="s">
        <v>718</v>
      </c>
      <c r="K72" s="467" t="s">
        <v>719</v>
      </c>
      <c r="L72" s="680" t="s">
        <v>424</v>
      </c>
      <c r="M72" s="498" t="s">
        <v>2448</v>
      </c>
    </row>
    <row r="73" spans="1:13" ht="60">
      <c r="A73" s="467">
        <v>53</v>
      </c>
      <c r="B73" s="467" t="s">
        <v>720</v>
      </c>
      <c r="C73" s="688" t="s">
        <v>710</v>
      </c>
      <c r="D73" s="512" t="s">
        <v>721</v>
      </c>
      <c r="E73" s="689" t="s">
        <v>722</v>
      </c>
      <c r="F73" s="690" t="s">
        <v>723</v>
      </c>
      <c r="G73" s="528" t="s">
        <v>419</v>
      </c>
      <c r="H73" s="695" t="s">
        <v>724</v>
      </c>
      <c r="I73" s="528" t="s">
        <v>725</v>
      </c>
      <c r="J73" s="467" t="s">
        <v>726</v>
      </c>
      <c r="K73" s="467" t="s">
        <v>727</v>
      </c>
      <c r="L73" s="680" t="s">
        <v>424</v>
      </c>
      <c r="M73" s="498" t="s">
        <v>2448</v>
      </c>
    </row>
    <row r="74" spans="1:13" ht="60">
      <c r="A74" s="467">
        <v>54</v>
      </c>
      <c r="B74" s="467" t="s">
        <v>728</v>
      </c>
      <c r="C74" s="686" t="s">
        <v>729</v>
      </c>
      <c r="D74" s="685" t="s">
        <v>460</v>
      </c>
      <c r="E74" s="703" t="s">
        <v>730</v>
      </c>
      <c r="F74" s="683" t="s">
        <v>731</v>
      </c>
      <c r="G74" s="681" t="s">
        <v>2510</v>
      </c>
      <c r="H74" s="467" t="s">
        <v>732</v>
      </c>
      <c r="I74" s="615"/>
      <c r="J74" s="467" t="s">
        <v>664</v>
      </c>
      <c r="K74" s="680" t="s">
        <v>547</v>
      </c>
      <c r="L74" s="680" t="s">
        <v>424</v>
      </c>
      <c r="M74" s="498" t="s">
        <v>2448</v>
      </c>
    </row>
    <row r="75" spans="1:13" ht="60">
      <c r="A75" s="467">
        <v>55</v>
      </c>
      <c r="B75" s="467" t="s">
        <v>733</v>
      </c>
      <c r="C75" s="684" t="s">
        <v>729</v>
      </c>
      <c r="D75" s="685" t="s">
        <v>734</v>
      </c>
      <c r="E75" s="684" t="s">
        <v>735</v>
      </c>
      <c r="F75" s="683" t="s">
        <v>736</v>
      </c>
      <c r="G75" s="681" t="s">
        <v>419</v>
      </c>
      <c r="H75" s="615" t="s">
        <v>737</v>
      </c>
      <c r="I75" s="528" t="s">
        <v>449</v>
      </c>
      <c r="J75" s="467" t="s">
        <v>493</v>
      </c>
      <c r="K75" s="680" t="s">
        <v>547</v>
      </c>
      <c r="L75" s="680" t="s">
        <v>424</v>
      </c>
      <c r="M75" s="498" t="s">
        <v>2448</v>
      </c>
    </row>
    <row r="76" spans="1:13" ht="81" customHeight="1">
      <c r="A76" s="467">
        <v>56</v>
      </c>
      <c r="B76" s="467" t="s">
        <v>738</v>
      </c>
      <c r="C76" s="694" t="s">
        <v>503</v>
      </c>
      <c r="D76" s="512" t="s">
        <v>739</v>
      </c>
      <c r="E76" s="704" t="s">
        <v>740</v>
      </c>
      <c r="F76" s="705" t="s">
        <v>741</v>
      </c>
      <c r="G76" s="528" t="s">
        <v>419</v>
      </c>
      <c r="H76" s="615" t="s">
        <v>742</v>
      </c>
      <c r="I76" s="615"/>
      <c r="J76" s="467" t="s">
        <v>493</v>
      </c>
      <c r="K76" s="692" t="s">
        <v>743</v>
      </c>
      <c r="L76" s="680" t="s">
        <v>424</v>
      </c>
      <c r="M76" s="498" t="s">
        <v>2448</v>
      </c>
    </row>
    <row r="77" spans="1:13" ht="75">
      <c r="A77" s="467">
        <v>57</v>
      </c>
      <c r="B77" s="467" t="s">
        <v>744</v>
      </c>
      <c r="C77" s="694" t="s">
        <v>503</v>
      </c>
      <c r="D77" s="512" t="s">
        <v>460</v>
      </c>
      <c r="E77" s="615" t="s">
        <v>745</v>
      </c>
      <c r="F77" s="705" t="s">
        <v>746</v>
      </c>
      <c r="G77" s="528" t="s">
        <v>419</v>
      </c>
      <c r="H77" s="695" t="s">
        <v>747</v>
      </c>
      <c r="I77" s="528" t="s">
        <v>449</v>
      </c>
      <c r="J77" s="467" t="s">
        <v>493</v>
      </c>
      <c r="K77" s="467" t="s">
        <v>586</v>
      </c>
      <c r="L77" s="680" t="s">
        <v>424</v>
      </c>
      <c r="M77" s="498" t="s">
        <v>2448</v>
      </c>
    </row>
    <row r="78" spans="1:13" ht="105">
      <c r="A78" s="467">
        <v>58</v>
      </c>
      <c r="B78" s="698" t="s">
        <v>748</v>
      </c>
      <c r="C78" s="686" t="s">
        <v>749</v>
      </c>
      <c r="D78" s="685" t="s">
        <v>2511</v>
      </c>
      <c r="E78" s="686" t="s">
        <v>751</v>
      </c>
      <c r="F78" s="681" t="s">
        <v>752</v>
      </c>
      <c r="G78" s="686" t="s">
        <v>629</v>
      </c>
      <c r="H78" s="706" t="s">
        <v>753</v>
      </c>
      <c r="I78" s="615" t="s">
        <v>754</v>
      </c>
      <c r="J78" s="467" t="s">
        <v>755</v>
      </c>
      <c r="K78" s="467" t="s">
        <v>756</v>
      </c>
      <c r="L78" s="692" t="s">
        <v>633</v>
      </c>
      <c r="M78" s="498" t="s">
        <v>2448</v>
      </c>
    </row>
    <row r="79" spans="1:13" ht="60">
      <c r="A79" s="467">
        <v>59</v>
      </c>
      <c r="B79" s="467" t="s">
        <v>757</v>
      </c>
      <c r="C79" s="694" t="s">
        <v>749</v>
      </c>
      <c r="D79" s="512" t="s">
        <v>490</v>
      </c>
      <c r="E79" s="704" t="s">
        <v>758</v>
      </c>
      <c r="F79" s="705" t="s">
        <v>759</v>
      </c>
      <c r="G79" s="528" t="s">
        <v>419</v>
      </c>
      <c r="H79" s="696" t="s">
        <v>760</v>
      </c>
      <c r="I79" s="528" t="s">
        <v>449</v>
      </c>
      <c r="J79" s="467" t="s">
        <v>761</v>
      </c>
      <c r="K79" s="680" t="s">
        <v>433</v>
      </c>
      <c r="L79" s="680" t="s">
        <v>424</v>
      </c>
      <c r="M79" s="498" t="s">
        <v>2448</v>
      </c>
    </row>
    <row r="80" spans="1:13" ht="51" customHeight="1">
      <c r="A80" s="467">
        <v>60</v>
      </c>
      <c r="B80" s="467" t="s">
        <v>762</v>
      </c>
      <c r="C80" s="688" t="s">
        <v>749</v>
      </c>
      <c r="D80" s="512" t="s">
        <v>416</v>
      </c>
      <c r="E80" s="704" t="s">
        <v>763</v>
      </c>
      <c r="F80" s="705" t="s">
        <v>764</v>
      </c>
      <c r="G80" s="528" t="s">
        <v>419</v>
      </c>
      <c r="H80" s="702" t="s">
        <v>765</v>
      </c>
      <c r="I80" s="615"/>
      <c r="J80" s="467" t="s">
        <v>761</v>
      </c>
      <c r="K80" s="692" t="s">
        <v>743</v>
      </c>
      <c r="L80" s="680" t="s">
        <v>424</v>
      </c>
      <c r="M80" s="498" t="s">
        <v>2448</v>
      </c>
    </row>
    <row r="81" spans="1:13" ht="48" customHeight="1">
      <c r="A81" s="467">
        <v>61</v>
      </c>
      <c r="B81" s="467" t="s">
        <v>766</v>
      </c>
      <c r="C81" s="688" t="s">
        <v>749</v>
      </c>
      <c r="D81" s="512" t="s">
        <v>666</v>
      </c>
      <c r="E81" s="704" t="s">
        <v>767</v>
      </c>
      <c r="F81" s="705" t="s">
        <v>768</v>
      </c>
      <c r="G81" s="528" t="s">
        <v>629</v>
      </c>
      <c r="H81" s="695" t="s">
        <v>769</v>
      </c>
      <c r="I81" s="528" t="s">
        <v>449</v>
      </c>
      <c r="J81" s="467" t="s">
        <v>761</v>
      </c>
      <c r="K81" s="680" t="s">
        <v>547</v>
      </c>
      <c r="L81" s="680" t="s">
        <v>424</v>
      </c>
      <c r="M81" s="498" t="s">
        <v>2448</v>
      </c>
    </row>
    <row r="82" spans="1:13" ht="48.75" customHeight="1">
      <c r="A82" s="467">
        <v>62</v>
      </c>
      <c r="B82" s="698" t="s">
        <v>770</v>
      </c>
      <c r="C82" s="688" t="s">
        <v>690</v>
      </c>
      <c r="D82" s="512" t="s">
        <v>1428</v>
      </c>
      <c r="E82" s="536" t="s">
        <v>772</v>
      </c>
      <c r="F82" s="615" t="s">
        <v>773</v>
      </c>
      <c r="G82" s="528" t="s">
        <v>419</v>
      </c>
      <c r="H82" s="613" t="s">
        <v>774</v>
      </c>
      <c r="I82" s="615"/>
      <c r="J82" s="698" t="s">
        <v>775</v>
      </c>
      <c r="K82" s="692" t="s">
        <v>776</v>
      </c>
      <c r="L82" s="680" t="s">
        <v>424</v>
      </c>
      <c r="M82" s="498" t="s">
        <v>2448</v>
      </c>
    </row>
    <row r="83" spans="1:13" ht="60">
      <c r="A83" s="467">
        <v>63</v>
      </c>
      <c r="B83" s="467" t="s">
        <v>777</v>
      </c>
      <c r="C83" s="688" t="s">
        <v>690</v>
      </c>
      <c r="D83" s="512" t="s">
        <v>460</v>
      </c>
      <c r="E83" s="536" t="s">
        <v>778</v>
      </c>
      <c r="F83" s="615" t="s">
        <v>779</v>
      </c>
      <c r="G83" s="528" t="s">
        <v>419</v>
      </c>
      <c r="H83" s="695" t="s">
        <v>780</v>
      </c>
      <c r="I83" s="615"/>
      <c r="J83" s="467" t="s">
        <v>781</v>
      </c>
      <c r="K83" s="680" t="s">
        <v>433</v>
      </c>
      <c r="L83" s="680" t="s">
        <v>424</v>
      </c>
      <c r="M83" s="498" t="s">
        <v>2448</v>
      </c>
    </row>
    <row r="84" spans="1:13" ht="38.25" customHeight="1">
      <c r="A84" s="467">
        <v>64</v>
      </c>
      <c r="B84" s="528" t="s">
        <v>782</v>
      </c>
      <c r="C84" s="688" t="s">
        <v>749</v>
      </c>
      <c r="D84" s="512" t="s">
        <v>453</v>
      </c>
      <c r="E84" s="497" t="s">
        <v>783</v>
      </c>
      <c r="F84" s="467" t="s">
        <v>784</v>
      </c>
      <c r="G84" s="528" t="s">
        <v>419</v>
      </c>
      <c r="H84" s="691" t="s">
        <v>785</v>
      </c>
      <c r="I84" s="528" t="s">
        <v>786</v>
      </c>
      <c r="J84" s="467" t="s">
        <v>787</v>
      </c>
      <c r="K84" s="528" t="s">
        <v>788</v>
      </c>
      <c r="L84" s="528" t="s">
        <v>633</v>
      </c>
      <c r="M84" s="498" t="s">
        <v>2448</v>
      </c>
    </row>
    <row r="85" spans="1:13" ht="60">
      <c r="A85" s="467">
        <v>65</v>
      </c>
      <c r="B85" s="528" t="s">
        <v>789</v>
      </c>
      <c r="C85" s="688" t="s">
        <v>503</v>
      </c>
      <c r="D85" s="512" t="s">
        <v>460</v>
      </c>
      <c r="E85" s="704" t="s">
        <v>791</v>
      </c>
      <c r="F85" s="705" t="s">
        <v>792</v>
      </c>
      <c r="G85" s="528" t="s">
        <v>430</v>
      </c>
      <c r="H85" s="615" t="s">
        <v>793</v>
      </c>
      <c r="I85" s="615"/>
      <c r="J85" s="467" t="s">
        <v>794</v>
      </c>
      <c r="K85" s="536"/>
      <c r="L85" s="680" t="s">
        <v>424</v>
      </c>
      <c r="M85" s="498" t="s">
        <v>2448</v>
      </c>
    </row>
    <row r="86" spans="1:13" ht="55.5" customHeight="1">
      <c r="A86" s="467">
        <v>66</v>
      </c>
      <c r="B86" s="615" t="s">
        <v>795</v>
      </c>
      <c r="C86" s="694" t="s">
        <v>796</v>
      </c>
      <c r="D86" s="512" t="s">
        <v>460</v>
      </c>
      <c r="E86" s="704" t="s">
        <v>797</v>
      </c>
      <c r="F86" s="705" t="s">
        <v>798</v>
      </c>
      <c r="G86" s="681" t="s">
        <v>2510</v>
      </c>
      <c r="H86" s="615" t="s">
        <v>799</v>
      </c>
      <c r="I86" s="528" t="s">
        <v>449</v>
      </c>
      <c r="J86" s="467" t="s">
        <v>800</v>
      </c>
      <c r="K86" s="536"/>
      <c r="L86" s="680" t="s">
        <v>424</v>
      </c>
      <c r="M86" s="498" t="s">
        <v>2448</v>
      </c>
    </row>
    <row r="87" spans="1:13" ht="105">
      <c r="A87" s="467">
        <v>67</v>
      </c>
      <c r="B87" s="698" t="s">
        <v>801</v>
      </c>
      <c r="C87" s="688" t="s">
        <v>749</v>
      </c>
      <c r="D87" s="512" t="s">
        <v>453</v>
      </c>
      <c r="E87" s="497" t="s">
        <v>802</v>
      </c>
      <c r="F87" s="707" t="s">
        <v>803</v>
      </c>
      <c r="G87" s="528" t="s">
        <v>419</v>
      </c>
      <c r="H87" s="528" t="s">
        <v>804</v>
      </c>
      <c r="I87" s="528" t="s">
        <v>786</v>
      </c>
      <c r="J87" s="698" t="s">
        <v>805</v>
      </c>
      <c r="K87" s="467" t="s">
        <v>788</v>
      </c>
      <c r="L87" s="528" t="s">
        <v>633</v>
      </c>
      <c r="M87" s="498" t="s">
        <v>2448</v>
      </c>
    </row>
    <row r="88" spans="1:13" ht="75">
      <c r="A88" s="467">
        <v>68</v>
      </c>
      <c r="B88" s="698" t="s">
        <v>806</v>
      </c>
      <c r="C88" s="688" t="s">
        <v>807</v>
      </c>
      <c r="D88" s="512" t="s">
        <v>808</v>
      </c>
      <c r="E88" s="688" t="s">
        <v>809</v>
      </c>
      <c r="F88" s="467" t="s">
        <v>810</v>
      </c>
      <c r="G88" s="536" t="s">
        <v>430</v>
      </c>
      <c r="H88" s="614">
        <v>50000</v>
      </c>
      <c r="I88" s="615" t="s">
        <v>811</v>
      </c>
      <c r="J88" s="467" t="s">
        <v>812</v>
      </c>
      <c r="K88" s="528" t="s">
        <v>788</v>
      </c>
      <c r="L88" s="528" t="s">
        <v>633</v>
      </c>
      <c r="M88" s="498" t="s">
        <v>2448</v>
      </c>
    </row>
    <row r="89" spans="1:13" ht="57" customHeight="1">
      <c r="A89" s="467">
        <v>69</v>
      </c>
      <c r="B89" s="467" t="s">
        <v>813</v>
      </c>
      <c r="C89" s="688" t="s">
        <v>814</v>
      </c>
      <c r="D89" s="512" t="s">
        <v>453</v>
      </c>
      <c r="E89" s="497" t="s">
        <v>815</v>
      </c>
      <c r="F89" s="707" t="s">
        <v>816</v>
      </c>
      <c r="G89" s="528" t="s">
        <v>629</v>
      </c>
      <c r="H89" s="613" t="s">
        <v>817</v>
      </c>
      <c r="I89" s="528" t="s">
        <v>630</v>
      </c>
      <c r="J89" s="467" t="s">
        <v>818</v>
      </c>
      <c r="K89" s="467" t="s">
        <v>788</v>
      </c>
      <c r="L89" s="528" t="s">
        <v>633</v>
      </c>
      <c r="M89" s="498" t="s">
        <v>2448</v>
      </c>
    </row>
    <row r="90" spans="1:13" ht="56.25" customHeight="1">
      <c r="A90" s="467">
        <v>70</v>
      </c>
      <c r="B90" s="698" t="s">
        <v>819</v>
      </c>
      <c r="C90" s="688" t="s">
        <v>820</v>
      </c>
      <c r="D90" s="512" t="s">
        <v>821</v>
      </c>
      <c r="E90" s="497" t="s">
        <v>822</v>
      </c>
      <c r="F90" s="707" t="s">
        <v>823</v>
      </c>
      <c r="G90" s="497" t="s">
        <v>499</v>
      </c>
      <c r="H90" s="528" t="s">
        <v>824</v>
      </c>
      <c r="I90" s="615" t="s">
        <v>811</v>
      </c>
      <c r="J90" s="698" t="s">
        <v>825</v>
      </c>
      <c r="K90" s="528" t="s">
        <v>788</v>
      </c>
      <c r="L90" s="528" t="s">
        <v>633</v>
      </c>
      <c r="M90" s="498" t="s">
        <v>2448</v>
      </c>
    </row>
    <row r="91" spans="1:13" ht="60">
      <c r="A91" s="467">
        <v>71</v>
      </c>
      <c r="B91" s="698" t="s">
        <v>826</v>
      </c>
      <c r="C91" s="688" t="s">
        <v>827</v>
      </c>
      <c r="D91" s="512" t="s">
        <v>553</v>
      </c>
      <c r="E91" s="497"/>
      <c r="F91" s="698" t="s">
        <v>828</v>
      </c>
      <c r="G91" s="497" t="s">
        <v>430</v>
      </c>
      <c r="H91" s="611">
        <v>70611</v>
      </c>
      <c r="I91" s="528" t="s">
        <v>829</v>
      </c>
      <c r="J91" s="467" t="s">
        <v>830</v>
      </c>
      <c r="K91" s="528" t="s">
        <v>831</v>
      </c>
      <c r="L91" s="528" t="s">
        <v>511</v>
      </c>
      <c r="M91" s="498" t="s">
        <v>2448</v>
      </c>
    </row>
    <row r="92" spans="1:13" ht="60">
      <c r="A92" s="467">
        <v>72</v>
      </c>
      <c r="B92" s="698" t="s">
        <v>826</v>
      </c>
      <c r="C92" s="688" t="s">
        <v>827</v>
      </c>
      <c r="D92" s="512" t="s">
        <v>553</v>
      </c>
      <c r="E92" s="497" t="s">
        <v>832</v>
      </c>
      <c r="F92" s="698" t="s">
        <v>833</v>
      </c>
      <c r="G92" s="528" t="s">
        <v>419</v>
      </c>
      <c r="H92" s="611" t="s">
        <v>834</v>
      </c>
      <c r="I92" s="528" t="s">
        <v>829</v>
      </c>
      <c r="J92" s="467" t="s">
        <v>835</v>
      </c>
      <c r="K92" s="528" t="s">
        <v>831</v>
      </c>
      <c r="L92" s="528" t="s">
        <v>511</v>
      </c>
      <c r="M92" s="498" t="s">
        <v>2448</v>
      </c>
    </row>
    <row r="93" spans="1:13" ht="51.75" customHeight="1">
      <c r="A93" s="467">
        <v>73</v>
      </c>
      <c r="B93" s="698" t="s">
        <v>806</v>
      </c>
      <c r="C93" s="688" t="s">
        <v>836</v>
      </c>
      <c r="D93" s="512" t="s">
        <v>808</v>
      </c>
      <c r="E93" s="497" t="s">
        <v>837</v>
      </c>
      <c r="F93" s="528" t="s">
        <v>838</v>
      </c>
      <c r="G93" s="528" t="s">
        <v>430</v>
      </c>
      <c r="H93" s="528" t="s">
        <v>839</v>
      </c>
      <c r="I93" s="615" t="s">
        <v>811</v>
      </c>
      <c r="J93" s="698" t="s">
        <v>840</v>
      </c>
      <c r="K93" s="467" t="s">
        <v>788</v>
      </c>
      <c r="L93" s="528" t="s">
        <v>633</v>
      </c>
      <c r="M93" s="498" t="s">
        <v>2448</v>
      </c>
    </row>
    <row r="94" spans="1:13" ht="65.25" customHeight="1">
      <c r="A94" s="467">
        <v>74</v>
      </c>
      <c r="B94" s="698" t="s">
        <v>841</v>
      </c>
      <c r="C94" s="688" t="s">
        <v>836</v>
      </c>
      <c r="D94" s="512" t="s">
        <v>808</v>
      </c>
      <c r="E94" s="497" t="s">
        <v>842</v>
      </c>
      <c r="F94" s="528" t="s">
        <v>843</v>
      </c>
      <c r="G94" s="528" t="s">
        <v>430</v>
      </c>
      <c r="H94" s="497" t="s">
        <v>844</v>
      </c>
      <c r="I94" s="615" t="s">
        <v>811</v>
      </c>
      <c r="J94" s="698" t="s">
        <v>845</v>
      </c>
      <c r="K94" s="467" t="s">
        <v>788</v>
      </c>
      <c r="L94" s="528" t="s">
        <v>633</v>
      </c>
      <c r="M94" s="498" t="s">
        <v>2448</v>
      </c>
    </row>
    <row r="95" spans="1:13" ht="60">
      <c r="A95" s="467">
        <v>75</v>
      </c>
      <c r="B95" s="698" t="s">
        <v>846</v>
      </c>
      <c r="C95" s="688" t="s">
        <v>606</v>
      </c>
      <c r="D95" s="682" t="s">
        <v>847</v>
      </c>
      <c r="E95" s="681" t="s">
        <v>848</v>
      </c>
      <c r="F95" s="681" t="s">
        <v>849</v>
      </c>
      <c r="G95" s="528" t="s">
        <v>629</v>
      </c>
      <c r="H95" s="497" t="s">
        <v>850</v>
      </c>
      <c r="I95" s="615" t="s">
        <v>851</v>
      </c>
      <c r="J95" s="615" t="s">
        <v>852</v>
      </c>
      <c r="K95" s="467" t="s">
        <v>853</v>
      </c>
      <c r="L95" s="536" t="s">
        <v>511</v>
      </c>
      <c r="M95" s="498" t="s">
        <v>2448</v>
      </c>
    </row>
    <row r="96" spans="1:13" ht="59.25" customHeight="1">
      <c r="A96" s="467">
        <v>76</v>
      </c>
      <c r="B96" s="467" t="s">
        <v>854</v>
      </c>
      <c r="C96" s="694" t="s">
        <v>465</v>
      </c>
      <c r="D96" s="708" t="s">
        <v>460</v>
      </c>
      <c r="E96" s="709" t="s">
        <v>855</v>
      </c>
      <c r="F96" s="709" t="s">
        <v>856</v>
      </c>
      <c r="G96" s="710" t="s">
        <v>2510</v>
      </c>
      <c r="H96" s="711" t="s">
        <v>857</v>
      </c>
      <c r="I96" s="612" t="s">
        <v>421</v>
      </c>
      <c r="J96" s="467" t="s">
        <v>858</v>
      </c>
      <c r="K96" s="680" t="s">
        <v>859</v>
      </c>
      <c r="L96" s="621" t="s">
        <v>424</v>
      </c>
      <c r="M96" s="498" t="s">
        <v>2448</v>
      </c>
    </row>
    <row r="97" spans="1:13" ht="68.25" customHeight="1">
      <c r="A97" s="467">
        <v>77</v>
      </c>
      <c r="B97" s="467" t="s">
        <v>860</v>
      </c>
      <c r="C97" s="688" t="s">
        <v>465</v>
      </c>
      <c r="D97" s="708" t="s">
        <v>460</v>
      </c>
      <c r="E97" s="709" t="s">
        <v>861</v>
      </c>
      <c r="F97" s="709" t="s">
        <v>862</v>
      </c>
      <c r="G97" s="710" t="s">
        <v>2510</v>
      </c>
      <c r="H97" s="711">
        <v>588330.06999999995</v>
      </c>
      <c r="I97" s="612" t="s">
        <v>421</v>
      </c>
      <c r="J97" s="467" t="s">
        <v>863</v>
      </c>
      <c r="K97" s="680" t="s">
        <v>859</v>
      </c>
      <c r="L97" s="621" t="s">
        <v>424</v>
      </c>
      <c r="M97" s="498" t="s">
        <v>2448</v>
      </c>
    </row>
    <row r="98" spans="1:13" ht="74.25" customHeight="1">
      <c r="A98" s="467">
        <v>78</v>
      </c>
      <c r="B98" s="467" t="s">
        <v>864</v>
      </c>
      <c r="C98" s="694" t="s">
        <v>465</v>
      </c>
      <c r="D98" s="708" t="s">
        <v>865</v>
      </c>
      <c r="E98" s="709" t="s">
        <v>866</v>
      </c>
      <c r="F98" s="709" t="s">
        <v>867</v>
      </c>
      <c r="G98" s="710" t="s">
        <v>419</v>
      </c>
      <c r="H98" s="711">
        <v>277074.40000000002</v>
      </c>
      <c r="I98" s="612" t="s">
        <v>421</v>
      </c>
      <c r="J98" s="467" t="s">
        <v>868</v>
      </c>
      <c r="K98" s="680" t="s">
        <v>859</v>
      </c>
      <c r="L98" s="621" t="s">
        <v>424</v>
      </c>
      <c r="M98" s="498" t="s">
        <v>2448</v>
      </c>
    </row>
    <row r="99" spans="1:13" ht="60">
      <c r="A99" s="467">
        <v>79</v>
      </c>
      <c r="B99" s="615" t="s">
        <v>869</v>
      </c>
      <c r="C99" s="688" t="s">
        <v>870</v>
      </c>
      <c r="D99" s="512" t="s">
        <v>871</v>
      </c>
      <c r="E99" s="615" t="s">
        <v>872</v>
      </c>
      <c r="F99" s="615" t="s">
        <v>873</v>
      </c>
      <c r="G99" s="528" t="s">
        <v>439</v>
      </c>
      <c r="H99" s="615" t="s">
        <v>874</v>
      </c>
      <c r="I99" s="528" t="s">
        <v>449</v>
      </c>
      <c r="J99" s="467" t="s">
        <v>875</v>
      </c>
      <c r="K99" s="680" t="s">
        <v>876</v>
      </c>
      <c r="L99" s="621" t="s">
        <v>424</v>
      </c>
      <c r="M99" s="498" t="s">
        <v>2448</v>
      </c>
    </row>
    <row r="100" spans="1:13" ht="75">
      <c r="A100" s="467">
        <v>80</v>
      </c>
      <c r="B100" s="467" t="s">
        <v>877</v>
      </c>
      <c r="C100" s="688" t="s">
        <v>878</v>
      </c>
      <c r="D100" s="512" t="s">
        <v>569</v>
      </c>
      <c r="E100" s="704" t="s">
        <v>879</v>
      </c>
      <c r="F100" s="705" t="s">
        <v>880</v>
      </c>
      <c r="G100" s="528" t="s">
        <v>629</v>
      </c>
      <c r="H100" s="702" t="s">
        <v>881</v>
      </c>
      <c r="I100" s="615"/>
      <c r="J100" s="467" t="s">
        <v>863</v>
      </c>
      <c r="K100" s="467" t="s">
        <v>882</v>
      </c>
      <c r="L100" s="621" t="s">
        <v>424</v>
      </c>
      <c r="M100" s="498" t="s">
        <v>2448</v>
      </c>
    </row>
    <row r="101" spans="1:13" ht="60">
      <c r="A101" s="467">
        <v>81</v>
      </c>
      <c r="B101" s="680" t="s">
        <v>883</v>
      </c>
      <c r="C101" s="694" t="s">
        <v>495</v>
      </c>
      <c r="D101" s="712" t="s">
        <v>884</v>
      </c>
      <c r="E101" s="684" t="s">
        <v>885</v>
      </c>
      <c r="F101" s="680" t="s">
        <v>886</v>
      </c>
      <c r="G101" s="686" t="s">
        <v>439</v>
      </c>
      <c r="H101" s="713">
        <v>32898.78</v>
      </c>
      <c r="I101" s="528" t="s">
        <v>887</v>
      </c>
      <c r="J101" s="467" t="s">
        <v>863</v>
      </c>
      <c r="K101" s="692" t="s">
        <v>888</v>
      </c>
      <c r="L101" s="621" t="s">
        <v>424</v>
      </c>
      <c r="M101" s="498" t="s">
        <v>2448</v>
      </c>
    </row>
    <row r="102" spans="1:13" ht="71.25" customHeight="1">
      <c r="A102" s="467">
        <v>82</v>
      </c>
      <c r="B102" s="528" t="s">
        <v>889</v>
      </c>
      <c r="C102" s="688" t="s">
        <v>606</v>
      </c>
      <c r="D102" s="685" t="s">
        <v>648</v>
      </c>
      <c r="E102" s="686" t="s">
        <v>891</v>
      </c>
      <c r="F102" s="681" t="s">
        <v>892</v>
      </c>
      <c r="G102" s="528" t="s">
        <v>2512</v>
      </c>
      <c r="H102" s="497" t="s">
        <v>893</v>
      </c>
      <c r="I102" s="528" t="s">
        <v>894</v>
      </c>
      <c r="J102" s="467" t="s">
        <v>895</v>
      </c>
      <c r="K102" s="467" t="s">
        <v>896</v>
      </c>
      <c r="L102" s="536" t="s">
        <v>472</v>
      </c>
      <c r="M102" s="498" t="s">
        <v>2448</v>
      </c>
    </row>
    <row r="103" spans="1:13" ht="66" customHeight="1">
      <c r="A103" s="467">
        <v>83</v>
      </c>
      <c r="B103" s="692" t="s">
        <v>897</v>
      </c>
      <c r="C103" s="688" t="s">
        <v>898</v>
      </c>
      <c r="D103" s="512" t="s">
        <v>648</v>
      </c>
      <c r="E103" s="688" t="s">
        <v>899</v>
      </c>
      <c r="F103" s="710" t="s">
        <v>900</v>
      </c>
      <c r="G103" s="497" t="s">
        <v>901</v>
      </c>
      <c r="H103" s="497" t="s">
        <v>902</v>
      </c>
      <c r="I103" s="528" t="s">
        <v>903</v>
      </c>
      <c r="J103" s="467" t="s">
        <v>904</v>
      </c>
      <c r="K103" s="467" t="s">
        <v>853</v>
      </c>
      <c r="L103" s="536" t="s">
        <v>511</v>
      </c>
      <c r="M103" s="498" t="s">
        <v>2448</v>
      </c>
    </row>
    <row r="104" spans="1:13" ht="67.5" customHeight="1">
      <c r="A104" s="467">
        <v>84</v>
      </c>
      <c r="B104" s="692" t="s">
        <v>897</v>
      </c>
      <c r="C104" s="688" t="s">
        <v>898</v>
      </c>
      <c r="D104" s="512" t="s">
        <v>648</v>
      </c>
      <c r="E104" s="714" t="s">
        <v>905</v>
      </c>
      <c r="F104" s="710" t="s">
        <v>906</v>
      </c>
      <c r="G104" s="497" t="s">
        <v>901</v>
      </c>
      <c r="H104" s="497" t="s">
        <v>907</v>
      </c>
      <c r="I104" s="528" t="s">
        <v>903</v>
      </c>
      <c r="J104" s="467" t="s">
        <v>904</v>
      </c>
      <c r="K104" s="467" t="s">
        <v>853</v>
      </c>
      <c r="L104" s="536" t="s">
        <v>511</v>
      </c>
      <c r="M104" s="498" t="s">
        <v>2448</v>
      </c>
    </row>
    <row r="105" spans="1:13" ht="64.5" customHeight="1">
      <c r="A105" s="467">
        <v>85</v>
      </c>
      <c r="B105" s="692" t="s">
        <v>897</v>
      </c>
      <c r="C105" s="688" t="s">
        <v>898</v>
      </c>
      <c r="D105" s="512" t="s">
        <v>648</v>
      </c>
      <c r="E105" s="688" t="s">
        <v>908</v>
      </c>
      <c r="F105" s="710" t="s">
        <v>909</v>
      </c>
      <c r="G105" s="497" t="s">
        <v>901</v>
      </c>
      <c r="H105" s="497" t="s">
        <v>910</v>
      </c>
      <c r="I105" s="528" t="s">
        <v>903</v>
      </c>
      <c r="J105" s="467" t="s">
        <v>904</v>
      </c>
      <c r="K105" s="467" t="s">
        <v>853</v>
      </c>
      <c r="L105" s="621" t="s">
        <v>511</v>
      </c>
      <c r="M105" s="498" t="s">
        <v>2448</v>
      </c>
    </row>
    <row r="106" spans="1:13" ht="90">
      <c r="A106" s="467">
        <v>86</v>
      </c>
      <c r="B106" s="698" t="s">
        <v>911</v>
      </c>
      <c r="C106" s="688" t="s">
        <v>898</v>
      </c>
      <c r="D106" s="512" t="s">
        <v>648</v>
      </c>
      <c r="E106" s="688" t="s">
        <v>912</v>
      </c>
      <c r="F106" s="710" t="s">
        <v>913</v>
      </c>
      <c r="G106" s="497" t="s">
        <v>901</v>
      </c>
      <c r="H106" s="497" t="s">
        <v>914</v>
      </c>
      <c r="I106" s="528" t="s">
        <v>903</v>
      </c>
      <c r="J106" s="467" t="s">
        <v>915</v>
      </c>
      <c r="K106" s="467" t="s">
        <v>853</v>
      </c>
      <c r="L106" s="536" t="s">
        <v>511</v>
      </c>
      <c r="M106" s="498" t="s">
        <v>2448</v>
      </c>
    </row>
    <row r="107" spans="1:13" ht="66" customHeight="1">
      <c r="A107" s="467">
        <v>87</v>
      </c>
      <c r="B107" s="698" t="s">
        <v>911</v>
      </c>
      <c r="C107" s="688" t="s">
        <v>898</v>
      </c>
      <c r="D107" s="512" t="s">
        <v>648</v>
      </c>
      <c r="E107" s="497" t="s">
        <v>916</v>
      </c>
      <c r="F107" s="710" t="s">
        <v>917</v>
      </c>
      <c r="G107" s="497" t="s">
        <v>901</v>
      </c>
      <c r="H107" s="497" t="s">
        <v>918</v>
      </c>
      <c r="I107" s="528" t="s">
        <v>903</v>
      </c>
      <c r="J107" s="467" t="s">
        <v>904</v>
      </c>
      <c r="K107" s="467" t="s">
        <v>853</v>
      </c>
      <c r="L107" s="536" t="s">
        <v>511</v>
      </c>
      <c r="M107" s="498" t="s">
        <v>2448</v>
      </c>
    </row>
    <row r="108" spans="1:13" ht="68.25" customHeight="1">
      <c r="A108" s="467">
        <v>88</v>
      </c>
      <c r="B108" s="698" t="s">
        <v>911</v>
      </c>
      <c r="C108" s="688" t="s">
        <v>898</v>
      </c>
      <c r="D108" s="512" t="s">
        <v>648</v>
      </c>
      <c r="E108" s="497" t="s">
        <v>919</v>
      </c>
      <c r="F108" s="710" t="s">
        <v>920</v>
      </c>
      <c r="G108" s="497" t="s">
        <v>901</v>
      </c>
      <c r="H108" s="497" t="s">
        <v>914</v>
      </c>
      <c r="I108" s="528" t="s">
        <v>903</v>
      </c>
      <c r="J108" s="467" t="s">
        <v>904</v>
      </c>
      <c r="K108" s="467" t="s">
        <v>853</v>
      </c>
      <c r="L108" s="536" t="s">
        <v>511</v>
      </c>
      <c r="M108" s="498" t="s">
        <v>2448</v>
      </c>
    </row>
    <row r="109" spans="1:13" ht="64.5" customHeight="1">
      <c r="A109" s="467">
        <v>89</v>
      </c>
      <c r="B109" s="528" t="s">
        <v>921</v>
      </c>
      <c r="C109" s="688" t="s">
        <v>606</v>
      </c>
      <c r="D109" s="685" t="s">
        <v>666</v>
      </c>
      <c r="E109" s="686" t="s">
        <v>922</v>
      </c>
      <c r="F109" s="681" t="s">
        <v>923</v>
      </c>
      <c r="G109" s="528" t="s">
        <v>419</v>
      </c>
      <c r="H109" s="528" t="s">
        <v>924</v>
      </c>
      <c r="I109" s="615"/>
      <c r="J109" s="467" t="s">
        <v>925</v>
      </c>
      <c r="K109" s="467" t="s">
        <v>926</v>
      </c>
      <c r="L109" s="621" t="s">
        <v>511</v>
      </c>
      <c r="M109" s="498" t="s">
        <v>2448</v>
      </c>
    </row>
    <row r="110" spans="1:13" ht="84" customHeight="1">
      <c r="A110" s="467">
        <v>90</v>
      </c>
      <c r="B110" s="528" t="s">
        <v>927</v>
      </c>
      <c r="C110" s="688" t="s">
        <v>606</v>
      </c>
      <c r="D110" s="685" t="s">
        <v>928</v>
      </c>
      <c r="E110" s="686" t="s">
        <v>929</v>
      </c>
      <c r="F110" s="681" t="s">
        <v>930</v>
      </c>
      <c r="G110" s="528" t="s">
        <v>419</v>
      </c>
      <c r="H110" s="497" t="s">
        <v>931</v>
      </c>
      <c r="I110" s="615" t="s">
        <v>932</v>
      </c>
      <c r="J110" s="467" t="s">
        <v>925</v>
      </c>
      <c r="K110" s="467" t="s">
        <v>926</v>
      </c>
      <c r="L110" s="621" t="s">
        <v>511</v>
      </c>
      <c r="M110" s="498" t="s">
        <v>2448</v>
      </c>
    </row>
    <row r="111" spans="1:13" ht="63.75" customHeight="1">
      <c r="A111" s="467">
        <v>91</v>
      </c>
      <c r="B111" s="692" t="s">
        <v>933</v>
      </c>
      <c r="C111" s="688" t="s">
        <v>606</v>
      </c>
      <c r="D111" s="685" t="s">
        <v>666</v>
      </c>
      <c r="E111" s="686" t="s">
        <v>934</v>
      </c>
      <c r="F111" s="681" t="s">
        <v>935</v>
      </c>
      <c r="G111" s="528" t="s">
        <v>419</v>
      </c>
      <c r="H111" s="497" t="s">
        <v>936</v>
      </c>
      <c r="I111" s="615"/>
      <c r="J111" s="467" t="s">
        <v>937</v>
      </c>
      <c r="K111" s="467" t="s">
        <v>926</v>
      </c>
      <c r="L111" s="621" t="s">
        <v>511</v>
      </c>
      <c r="M111" s="498" t="s">
        <v>2448</v>
      </c>
    </row>
    <row r="112" spans="1:13" ht="60">
      <c r="A112" s="467">
        <v>92</v>
      </c>
      <c r="B112" s="692" t="s">
        <v>938</v>
      </c>
      <c r="C112" s="688" t="s">
        <v>606</v>
      </c>
      <c r="D112" s="512" t="s">
        <v>666</v>
      </c>
      <c r="E112" s="497" t="s">
        <v>939</v>
      </c>
      <c r="F112" s="467" t="s">
        <v>940</v>
      </c>
      <c r="G112" s="528" t="s">
        <v>419</v>
      </c>
      <c r="H112" s="497" t="s">
        <v>941</v>
      </c>
      <c r="I112" s="615"/>
      <c r="J112" s="467" t="s">
        <v>863</v>
      </c>
      <c r="K112" s="467" t="s">
        <v>926</v>
      </c>
      <c r="L112" s="621" t="s">
        <v>511</v>
      </c>
      <c r="M112" s="498" t="s">
        <v>2448</v>
      </c>
    </row>
    <row r="113" spans="1:13" ht="63" customHeight="1">
      <c r="A113" s="467">
        <v>93</v>
      </c>
      <c r="B113" s="692" t="s">
        <v>625</v>
      </c>
      <c r="C113" s="688" t="s">
        <v>942</v>
      </c>
      <c r="D113" s="512" t="s">
        <v>943</v>
      </c>
      <c r="E113" s="497" t="s">
        <v>944</v>
      </c>
      <c r="F113" s="528" t="s">
        <v>945</v>
      </c>
      <c r="G113" s="528" t="s">
        <v>629</v>
      </c>
      <c r="H113" s="611">
        <v>65000</v>
      </c>
      <c r="I113" s="528" t="s">
        <v>630</v>
      </c>
      <c r="J113" s="467" t="s">
        <v>946</v>
      </c>
      <c r="K113" s="680" t="s">
        <v>947</v>
      </c>
      <c r="L113" s="528" t="s">
        <v>633</v>
      </c>
      <c r="M113" s="498" t="s">
        <v>2448</v>
      </c>
    </row>
    <row r="114" spans="1:13" ht="96.75" customHeight="1">
      <c r="A114" s="467">
        <v>94</v>
      </c>
      <c r="B114" s="528" t="s">
        <v>948</v>
      </c>
      <c r="C114" s="688" t="s">
        <v>949</v>
      </c>
      <c r="D114" s="512" t="s">
        <v>569</v>
      </c>
      <c r="E114" s="497" t="s">
        <v>950</v>
      </c>
      <c r="F114" s="528" t="s">
        <v>951</v>
      </c>
      <c r="G114" s="497" t="s">
        <v>430</v>
      </c>
      <c r="H114" s="528" t="s">
        <v>952</v>
      </c>
      <c r="I114" s="615" t="s">
        <v>953</v>
      </c>
      <c r="J114" s="698" t="s">
        <v>954</v>
      </c>
      <c r="K114" s="467" t="s">
        <v>955</v>
      </c>
      <c r="L114" s="528" t="s">
        <v>633</v>
      </c>
      <c r="M114" s="498" t="s">
        <v>2448</v>
      </c>
    </row>
    <row r="115" spans="1:13" ht="75">
      <c r="A115" s="467">
        <v>95</v>
      </c>
      <c r="B115" s="528" t="s">
        <v>956</v>
      </c>
      <c r="C115" s="688" t="s">
        <v>957</v>
      </c>
      <c r="D115" s="512" t="s">
        <v>666</v>
      </c>
      <c r="E115" s="497" t="s">
        <v>958</v>
      </c>
      <c r="F115" s="528" t="s">
        <v>959</v>
      </c>
      <c r="G115" s="528" t="s">
        <v>439</v>
      </c>
      <c r="H115" s="528" t="s">
        <v>960</v>
      </c>
      <c r="I115" s="528" t="s">
        <v>961</v>
      </c>
      <c r="J115" s="698" t="s">
        <v>962</v>
      </c>
      <c r="K115" s="467" t="s">
        <v>963</v>
      </c>
      <c r="L115" s="528" t="s">
        <v>633</v>
      </c>
      <c r="M115" s="498" t="s">
        <v>2448</v>
      </c>
    </row>
    <row r="116" spans="1:13" ht="74.25" customHeight="1">
      <c r="A116" s="467">
        <v>96</v>
      </c>
      <c r="B116" s="528" t="s">
        <v>964</v>
      </c>
      <c r="C116" s="688" t="s">
        <v>942</v>
      </c>
      <c r="D116" s="512" t="s">
        <v>943</v>
      </c>
      <c r="E116" s="497" t="s">
        <v>965</v>
      </c>
      <c r="F116" s="528" t="s">
        <v>966</v>
      </c>
      <c r="G116" s="528" t="s">
        <v>967</v>
      </c>
      <c r="H116" s="528" t="s">
        <v>968</v>
      </c>
      <c r="I116" s="528" t="s">
        <v>969</v>
      </c>
      <c r="J116" s="467" t="s">
        <v>970</v>
      </c>
      <c r="K116" s="467" t="s">
        <v>971</v>
      </c>
      <c r="L116" s="528" t="s">
        <v>633</v>
      </c>
      <c r="M116" s="498" t="s">
        <v>2448</v>
      </c>
    </row>
    <row r="117" spans="1:13" ht="75">
      <c r="A117" s="467">
        <v>97</v>
      </c>
      <c r="B117" s="528" t="s">
        <v>972</v>
      </c>
      <c r="C117" s="688" t="s">
        <v>942</v>
      </c>
      <c r="D117" s="512" t="s">
        <v>943</v>
      </c>
      <c r="E117" s="497" t="s">
        <v>973</v>
      </c>
      <c r="F117" s="528" t="s">
        <v>974</v>
      </c>
      <c r="G117" s="528" t="s">
        <v>967</v>
      </c>
      <c r="H117" s="693">
        <v>85972.7</v>
      </c>
      <c r="I117" s="528" t="s">
        <v>969</v>
      </c>
      <c r="J117" s="467" t="s">
        <v>975</v>
      </c>
      <c r="K117" s="467" t="s">
        <v>971</v>
      </c>
      <c r="L117" s="528" t="s">
        <v>633</v>
      </c>
      <c r="M117" s="498" t="s">
        <v>2448</v>
      </c>
    </row>
    <row r="118" spans="1:13" ht="62.25" customHeight="1">
      <c r="A118" s="467">
        <v>98</v>
      </c>
      <c r="B118" s="528" t="s">
        <v>976</v>
      </c>
      <c r="C118" s="688" t="s">
        <v>957</v>
      </c>
      <c r="D118" s="512" t="s">
        <v>666</v>
      </c>
      <c r="E118" s="497" t="s">
        <v>977</v>
      </c>
      <c r="F118" s="528" t="s">
        <v>978</v>
      </c>
      <c r="G118" s="528" t="s">
        <v>419</v>
      </c>
      <c r="H118" s="528" t="s">
        <v>979</v>
      </c>
      <c r="I118" s="615"/>
      <c r="J118" s="698" t="s">
        <v>980</v>
      </c>
      <c r="K118" s="467" t="s">
        <v>981</v>
      </c>
      <c r="L118" s="528" t="s">
        <v>633</v>
      </c>
      <c r="M118" s="498" t="s">
        <v>2448</v>
      </c>
    </row>
    <row r="119" spans="1:13" ht="80.25" customHeight="1">
      <c r="A119" s="467">
        <v>99</v>
      </c>
      <c r="B119" s="528" t="s">
        <v>982</v>
      </c>
      <c r="C119" s="688" t="s">
        <v>836</v>
      </c>
      <c r="D119" s="512" t="s">
        <v>2513</v>
      </c>
      <c r="E119" s="497" t="s">
        <v>983</v>
      </c>
      <c r="F119" s="528" t="s">
        <v>984</v>
      </c>
      <c r="G119" s="528" t="s">
        <v>629</v>
      </c>
      <c r="H119" s="528" t="s">
        <v>985</v>
      </c>
      <c r="I119" s="528" t="s">
        <v>986</v>
      </c>
      <c r="J119" s="467" t="s">
        <v>987</v>
      </c>
      <c r="K119" s="467"/>
      <c r="L119" s="528" t="s">
        <v>511</v>
      </c>
      <c r="M119" s="498" t="s">
        <v>2448</v>
      </c>
    </row>
    <row r="120" spans="1:13" ht="60" customHeight="1">
      <c r="A120" s="467">
        <v>100</v>
      </c>
      <c r="B120" s="528" t="s">
        <v>988</v>
      </c>
      <c r="C120" s="688" t="s">
        <v>989</v>
      </c>
      <c r="D120" s="708" t="s">
        <v>2514</v>
      </c>
      <c r="E120" s="528" t="s">
        <v>991</v>
      </c>
      <c r="F120" s="528" t="s">
        <v>992</v>
      </c>
      <c r="G120" s="528" t="s">
        <v>629</v>
      </c>
      <c r="H120" s="497" t="s">
        <v>993</v>
      </c>
      <c r="I120" s="528" t="s">
        <v>994</v>
      </c>
      <c r="J120" s="467" t="s">
        <v>995</v>
      </c>
      <c r="K120" s="698" t="s">
        <v>996</v>
      </c>
      <c r="L120" s="528" t="s">
        <v>511</v>
      </c>
      <c r="M120" s="498" t="s">
        <v>2448</v>
      </c>
    </row>
    <row r="121" spans="1:13" ht="74.25" customHeight="1">
      <c r="A121" s="467">
        <v>101</v>
      </c>
      <c r="B121" s="528" t="s">
        <v>982</v>
      </c>
      <c r="C121" s="688" t="s">
        <v>836</v>
      </c>
      <c r="D121" s="708" t="s">
        <v>2513</v>
      </c>
      <c r="E121" s="528" t="s">
        <v>997</v>
      </c>
      <c r="F121" s="528" t="s">
        <v>998</v>
      </c>
      <c r="G121" s="528" t="s">
        <v>629</v>
      </c>
      <c r="H121" s="528" t="s">
        <v>999</v>
      </c>
      <c r="I121" s="528" t="s">
        <v>986</v>
      </c>
      <c r="J121" s="467" t="s">
        <v>987</v>
      </c>
      <c r="K121" s="467"/>
      <c r="L121" s="528" t="s">
        <v>511</v>
      </c>
      <c r="M121" s="498" t="s">
        <v>2448</v>
      </c>
    </row>
    <row r="122" spans="1:13" ht="60">
      <c r="A122" s="467">
        <v>102</v>
      </c>
      <c r="B122" s="528" t="s">
        <v>1000</v>
      </c>
      <c r="C122" s="688" t="s">
        <v>827</v>
      </c>
      <c r="D122" s="708" t="s">
        <v>553</v>
      </c>
      <c r="E122" s="528" t="s">
        <v>1001</v>
      </c>
      <c r="F122" s="528" t="s">
        <v>1002</v>
      </c>
      <c r="G122" s="528" t="s">
        <v>629</v>
      </c>
      <c r="H122" s="528" t="s">
        <v>1003</v>
      </c>
      <c r="I122" s="528" t="s">
        <v>829</v>
      </c>
      <c r="J122" s="467" t="s">
        <v>835</v>
      </c>
      <c r="K122" s="698" t="s">
        <v>831</v>
      </c>
      <c r="L122" s="528" t="s">
        <v>511</v>
      </c>
      <c r="M122" s="498" t="s">
        <v>2448</v>
      </c>
    </row>
    <row r="123" spans="1:13" ht="46.5" customHeight="1">
      <c r="A123" s="467">
        <v>103</v>
      </c>
      <c r="B123" s="692" t="s">
        <v>1004</v>
      </c>
      <c r="C123" s="688" t="s">
        <v>1005</v>
      </c>
      <c r="D123" s="512" t="s">
        <v>1006</v>
      </c>
      <c r="E123" s="497" t="s">
        <v>1007</v>
      </c>
      <c r="F123" s="528" t="s">
        <v>1008</v>
      </c>
      <c r="G123" s="528" t="s">
        <v>419</v>
      </c>
      <c r="H123" s="497" t="s">
        <v>1009</v>
      </c>
      <c r="I123" s="615" t="s">
        <v>1010</v>
      </c>
      <c r="J123" s="467" t="s">
        <v>1011</v>
      </c>
      <c r="K123" s="467" t="s">
        <v>1012</v>
      </c>
      <c r="L123" s="528" t="s">
        <v>511</v>
      </c>
      <c r="M123" s="498" t="s">
        <v>2448</v>
      </c>
    </row>
    <row r="124" spans="1:13" ht="53.25" customHeight="1">
      <c r="A124" s="467">
        <v>104</v>
      </c>
      <c r="B124" s="692" t="s">
        <v>1004</v>
      </c>
      <c r="C124" s="688" t="s">
        <v>489</v>
      </c>
      <c r="D124" s="512" t="s">
        <v>1013</v>
      </c>
      <c r="E124" s="512" t="s">
        <v>1014</v>
      </c>
      <c r="F124" s="708" t="s">
        <v>1015</v>
      </c>
      <c r="G124" s="497" t="s">
        <v>439</v>
      </c>
      <c r="H124" s="528" t="s">
        <v>1016</v>
      </c>
      <c r="I124" s="528" t="s">
        <v>1017</v>
      </c>
      <c r="J124" s="467" t="s">
        <v>1018</v>
      </c>
      <c r="K124" s="467" t="s">
        <v>1012</v>
      </c>
      <c r="L124" s="467" t="s">
        <v>511</v>
      </c>
      <c r="M124" s="498" t="s">
        <v>2448</v>
      </c>
    </row>
    <row r="125" spans="1:13" ht="67.5" customHeight="1">
      <c r="A125" s="467">
        <v>105</v>
      </c>
      <c r="B125" s="692" t="s">
        <v>933</v>
      </c>
      <c r="C125" s="688" t="s">
        <v>474</v>
      </c>
      <c r="D125" s="685" t="s">
        <v>1019</v>
      </c>
      <c r="E125" s="686" t="s">
        <v>1020</v>
      </c>
      <c r="F125" s="681" t="s">
        <v>1021</v>
      </c>
      <c r="G125" s="497" t="s">
        <v>439</v>
      </c>
      <c r="H125" s="497" t="s">
        <v>1022</v>
      </c>
      <c r="I125" s="615" t="s">
        <v>1023</v>
      </c>
      <c r="J125" s="467" t="s">
        <v>863</v>
      </c>
      <c r="K125" s="467" t="s">
        <v>926</v>
      </c>
      <c r="L125" s="467" t="s">
        <v>511</v>
      </c>
      <c r="M125" s="498" t="s">
        <v>2448</v>
      </c>
    </row>
    <row r="126" spans="1:13" ht="60">
      <c r="A126" s="467">
        <v>106</v>
      </c>
      <c r="B126" s="528" t="s">
        <v>1024</v>
      </c>
      <c r="C126" s="688" t="s">
        <v>796</v>
      </c>
      <c r="D126" s="512" t="s">
        <v>490</v>
      </c>
      <c r="E126" s="715" t="s">
        <v>1025</v>
      </c>
      <c r="F126" s="716" t="s">
        <v>1026</v>
      </c>
      <c r="G126" s="528" t="s">
        <v>419</v>
      </c>
      <c r="H126" s="497" t="s">
        <v>1027</v>
      </c>
      <c r="I126" s="528" t="s">
        <v>486</v>
      </c>
      <c r="J126" s="467" t="s">
        <v>863</v>
      </c>
      <c r="K126" s="467" t="s">
        <v>1028</v>
      </c>
      <c r="L126" s="467" t="s">
        <v>511</v>
      </c>
      <c r="M126" s="498" t="s">
        <v>2448</v>
      </c>
    </row>
    <row r="127" spans="1:13" ht="75">
      <c r="A127" s="467">
        <v>107</v>
      </c>
      <c r="B127" s="692" t="s">
        <v>1029</v>
      </c>
      <c r="C127" s="688" t="s">
        <v>1005</v>
      </c>
      <c r="D127" s="512" t="s">
        <v>1209</v>
      </c>
      <c r="E127" s="715" t="s">
        <v>1031</v>
      </c>
      <c r="F127" s="716" t="s">
        <v>1032</v>
      </c>
      <c r="G127" s="528" t="s">
        <v>629</v>
      </c>
      <c r="H127" s="497" t="s">
        <v>1033</v>
      </c>
      <c r="I127" s="528" t="s">
        <v>1010</v>
      </c>
      <c r="J127" s="467" t="s">
        <v>1034</v>
      </c>
      <c r="K127" s="467" t="s">
        <v>1035</v>
      </c>
      <c r="L127" s="467" t="s">
        <v>511</v>
      </c>
      <c r="M127" s="498" t="s">
        <v>2448</v>
      </c>
    </row>
    <row r="128" spans="1:13" ht="70.5" customHeight="1">
      <c r="A128" s="467">
        <v>108</v>
      </c>
      <c r="B128" s="698" t="s">
        <v>1036</v>
      </c>
      <c r="C128" s="688" t="s">
        <v>710</v>
      </c>
      <c r="D128" s="512" t="s">
        <v>1037</v>
      </c>
      <c r="E128" s="512" t="s">
        <v>1038</v>
      </c>
      <c r="F128" s="708" t="s">
        <v>1039</v>
      </c>
      <c r="G128" s="692" t="s">
        <v>439</v>
      </c>
      <c r="H128" s="528" t="s">
        <v>1040</v>
      </c>
      <c r="I128" s="615" t="s">
        <v>1023</v>
      </c>
      <c r="J128" s="467" t="s">
        <v>1041</v>
      </c>
      <c r="K128" s="467" t="s">
        <v>1042</v>
      </c>
      <c r="L128" s="467" t="s">
        <v>511</v>
      </c>
      <c r="M128" s="498" t="s">
        <v>2448</v>
      </c>
    </row>
    <row r="129" spans="1:13" ht="60.75" customHeight="1">
      <c r="A129" s="467">
        <v>109</v>
      </c>
      <c r="B129" s="528" t="s">
        <v>1043</v>
      </c>
      <c r="C129" s="688" t="s">
        <v>611</v>
      </c>
      <c r="D129" s="708" t="s">
        <v>1044</v>
      </c>
      <c r="E129" s="528" t="s">
        <v>1045</v>
      </c>
      <c r="F129" s="528" t="s">
        <v>1046</v>
      </c>
      <c r="G129" s="497" t="s">
        <v>439</v>
      </c>
      <c r="H129" s="613" t="s">
        <v>1047</v>
      </c>
      <c r="I129" s="615" t="s">
        <v>1048</v>
      </c>
      <c r="J129" s="467" t="s">
        <v>1049</v>
      </c>
      <c r="K129" s="467" t="s">
        <v>1035</v>
      </c>
      <c r="L129" s="467" t="s">
        <v>511</v>
      </c>
      <c r="M129" s="498" t="s">
        <v>2448</v>
      </c>
    </row>
    <row r="130" spans="1:13" ht="60">
      <c r="A130" s="467">
        <v>110</v>
      </c>
      <c r="B130" s="692" t="s">
        <v>1050</v>
      </c>
      <c r="C130" s="688" t="s">
        <v>1051</v>
      </c>
      <c r="D130" s="708" t="s">
        <v>1052</v>
      </c>
      <c r="E130" s="528" t="s">
        <v>1053</v>
      </c>
      <c r="F130" s="528" t="s">
        <v>1054</v>
      </c>
      <c r="G130" s="528" t="s">
        <v>419</v>
      </c>
      <c r="H130" s="613" t="s">
        <v>1055</v>
      </c>
      <c r="I130" s="528"/>
      <c r="J130" s="467" t="s">
        <v>1056</v>
      </c>
      <c r="K130" s="467"/>
      <c r="L130" s="698" t="s">
        <v>511</v>
      </c>
      <c r="M130" s="498" t="s">
        <v>2448</v>
      </c>
    </row>
    <row r="131" spans="1:13" ht="70.5" customHeight="1">
      <c r="A131" s="467">
        <v>111</v>
      </c>
      <c r="B131" s="692" t="s">
        <v>1057</v>
      </c>
      <c r="C131" s="688" t="s">
        <v>1058</v>
      </c>
      <c r="D131" s="512" t="s">
        <v>1052</v>
      </c>
      <c r="E131" s="497" t="s">
        <v>1059</v>
      </c>
      <c r="F131" s="528" t="s">
        <v>1060</v>
      </c>
      <c r="G131" s="528" t="s">
        <v>629</v>
      </c>
      <c r="H131" s="528" t="s">
        <v>1061</v>
      </c>
      <c r="I131" s="615" t="s">
        <v>1062</v>
      </c>
      <c r="J131" s="467" t="s">
        <v>1063</v>
      </c>
      <c r="K131" s="698" t="s">
        <v>1064</v>
      </c>
      <c r="L131" s="467" t="s">
        <v>511</v>
      </c>
      <c r="M131" s="498" t="s">
        <v>2448</v>
      </c>
    </row>
    <row r="132" spans="1:13" ht="66.75" customHeight="1">
      <c r="A132" s="467">
        <v>112</v>
      </c>
      <c r="B132" s="692" t="s">
        <v>1057</v>
      </c>
      <c r="C132" s="688" t="s">
        <v>1051</v>
      </c>
      <c r="D132" s="512" t="s">
        <v>1052</v>
      </c>
      <c r="E132" s="497" t="s">
        <v>1065</v>
      </c>
      <c r="F132" s="528" t="s">
        <v>1066</v>
      </c>
      <c r="G132" s="528" t="s">
        <v>419</v>
      </c>
      <c r="H132" s="497" t="s">
        <v>1067</v>
      </c>
      <c r="I132" s="615"/>
      <c r="J132" s="467" t="s">
        <v>1068</v>
      </c>
      <c r="K132" s="698" t="s">
        <v>1064</v>
      </c>
      <c r="L132" s="698" t="s">
        <v>511</v>
      </c>
      <c r="M132" s="498" t="s">
        <v>2448</v>
      </c>
    </row>
    <row r="133" spans="1:13" ht="66" customHeight="1">
      <c r="A133" s="467">
        <v>113</v>
      </c>
      <c r="B133" s="692" t="s">
        <v>1050</v>
      </c>
      <c r="C133" s="688" t="s">
        <v>1058</v>
      </c>
      <c r="D133" s="512" t="s">
        <v>1052</v>
      </c>
      <c r="E133" s="497" t="s">
        <v>1069</v>
      </c>
      <c r="F133" s="528" t="s">
        <v>1070</v>
      </c>
      <c r="G133" s="528" t="s">
        <v>629</v>
      </c>
      <c r="H133" s="613" t="s">
        <v>1071</v>
      </c>
      <c r="I133" s="615" t="s">
        <v>1062</v>
      </c>
      <c r="J133" s="467" t="s">
        <v>1056</v>
      </c>
      <c r="K133" s="467" t="s">
        <v>1072</v>
      </c>
      <c r="L133" s="467" t="s">
        <v>511</v>
      </c>
      <c r="M133" s="498" t="s">
        <v>2448</v>
      </c>
    </row>
    <row r="134" spans="1:13" ht="63" customHeight="1">
      <c r="A134" s="467">
        <v>114</v>
      </c>
      <c r="B134" s="692" t="s">
        <v>1029</v>
      </c>
      <c r="C134" s="688" t="s">
        <v>611</v>
      </c>
      <c r="D134" s="512" t="s">
        <v>1006</v>
      </c>
      <c r="E134" s="497" t="s">
        <v>1073</v>
      </c>
      <c r="F134" s="528" t="s">
        <v>1074</v>
      </c>
      <c r="G134" s="528" t="s">
        <v>419</v>
      </c>
      <c r="H134" s="528" t="s">
        <v>1075</v>
      </c>
      <c r="I134" s="528" t="s">
        <v>486</v>
      </c>
      <c r="J134" s="467" t="s">
        <v>1076</v>
      </c>
      <c r="K134" s="467" t="s">
        <v>1035</v>
      </c>
      <c r="L134" s="467" t="s">
        <v>511</v>
      </c>
      <c r="M134" s="498" t="s">
        <v>2448</v>
      </c>
    </row>
    <row r="135" spans="1:13" ht="60">
      <c r="A135" s="467">
        <v>115</v>
      </c>
      <c r="B135" s="692" t="s">
        <v>1000</v>
      </c>
      <c r="C135" s="688" t="s">
        <v>827</v>
      </c>
      <c r="D135" s="512" t="s">
        <v>553</v>
      </c>
      <c r="E135" s="497"/>
      <c r="F135" s="528" t="s">
        <v>1077</v>
      </c>
      <c r="G135" s="497" t="s">
        <v>430</v>
      </c>
      <c r="H135" s="611">
        <v>49496</v>
      </c>
      <c r="I135" s="528" t="s">
        <v>829</v>
      </c>
      <c r="J135" s="467" t="s">
        <v>1078</v>
      </c>
      <c r="K135" s="698" t="s">
        <v>831</v>
      </c>
      <c r="L135" s="698" t="s">
        <v>511</v>
      </c>
      <c r="M135" s="498" t="s">
        <v>2448</v>
      </c>
    </row>
    <row r="136" spans="1:13" ht="71.25" customHeight="1">
      <c r="A136" s="467">
        <v>116</v>
      </c>
      <c r="B136" s="698" t="s">
        <v>1079</v>
      </c>
      <c r="C136" s="688" t="s">
        <v>606</v>
      </c>
      <c r="D136" s="682" t="s">
        <v>490</v>
      </c>
      <c r="E136" s="681" t="s">
        <v>1080</v>
      </c>
      <c r="F136" s="681" t="s">
        <v>1081</v>
      </c>
      <c r="G136" s="528" t="s">
        <v>2512</v>
      </c>
      <c r="H136" s="617" t="s">
        <v>1082</v>
      </c>
      <c r="I136" s="528" t="s">
        <v>1017</v>
      </c>
      <c r="J136" s="467" t="s">
        <v>1083</v>
      </c>
      <c r="K136" s="467" t="s">
        <v>1084</v>
      </c>
      <c r="L136" s="467" t="s">
        <v>511</v>
      </c>
      <c r="M136" s="498" t="s">
        <v>2448</v>
      </c>
    </row>
    <row r="137" spans="1:13" ht="62.25" customHeight="1">
      <c r="A137" s="467">
        <v>117</v>
      </c>
      <c r="B137" s="692" t="s">
        <v>1085</v>
      </c>
      <c r="C137" s="688" t="s">
        <v>503</v>
      </c>
      <c r="D137" s="512" t="s">
        <v>2509</v>
      </c>
      <c r="E137" s="497" t="s">
        <v>1086</v>
      </c>
      <c r="F137" s="528" t="s">
        <v>1087</v>
      </c>
      <c r="G137" s="528" t="s">
        <v>629</v>
      </c>
      <c r="H137" s="697" t="s">
        <v>1088</v>
      </c>
      <c r="I137" s="528" t="s">
        <v>1017</v>
      </c>
      <c r="J137" s="467" t="s">
        <v>1089</v>
      </c>
      <c r="K137" s="467" t="s">
        <v>510</v>
      </c>
      <c r="L137" s="467" t="s">
        <v>511</v>
      </c>
      <c r="M137" s="498" t="s">
        <v>2448</v>
      </c>
    </row>
    <row r="138" spans="1:13" ht="72" customHeight="1">
      <c r="A138" s="467">
        <v>118</v>
      </c>
      <c r="B138" s="698" t="s">
        <v>1090</v>
      </c>
      <c r="C138" s="688" t="s">
        <v>1091</v>
      </c>
      <c r="D138" s="708" t="s">
        <v>490</v>
      </c>
      <c r="E138" s="528" t="s">
        <v>1092</v>
      </c>
      <c r="F138" s="528" t="s">
        <v>1093</v>
      </c>
      <c r="G138" s="528" t="s">
        <v>629</v>
      </c>
      <c r="H138" s="697" t="s">
        <v>1094</v>
      </c>
      <c r="I138" s="528" t="s">
        <v>1017</v>
      </c>
      <c r="J138" s="467" t="s">
        <v>1095</v>
      </c>
      <c r="K138" s="467" t="s">
        <v>926</v>
      </c>
      <c r="L138" s="467" t="s">
        <v>511</v>
      </c>
      <c r="M138" s="498" t="s">
        <v>2448</v>
      </c>
    </row>
    <row r="139" spans="1:13" ht="72" customHeight="1">
      <c r="A139" s="467">
        <v>119</v>
      </c>
      <c r="B139" s="528" t="s">
        <v>1096</v>
      </c>
      <c r="C139" s="688" t="s">
        <v>1091</v>
      </c>
      <c r="D139" s="708" t="s">
        <v>648</v>
      </c>
      <c r="E139" s="528" t="s">
        <v>1097</v>
      </c>
      <c r="F139" s="528" t="s">
        <v>1098</v>
      </c>
      <c r="G139" s="528" t="s">
        <v>419</v>
      </c>
      <c r="H139" s="528" t="s">
        <v>1099</v>
      </c>
      <c r="I139" s="528" t="s">
        <v>1017</v>
      </c>
      <c r="J139" s="467" t="s">
        <v>1100</v>
      </c>
      <c r="K139" s="467" t="s">
        <v>926</v>
      </c>
      <c r="L139" s="467" t="s">
        <v>511</v>
      </c>
      <c r="M139" s="498" t="s">
        <v>2448</v>
      </c>
    </row>
    <row r="140" spans="1:13" ht="60">
      <c r="A140" s="467">
        <v>120</v>
      </c>
      <c r="B140" s="698" t="s">
        <v>1101</v>
      </c>
      <c r="C140" s="688" t="s">
        <v>606</v>
      </c>
      <c r="D140" s="685" t="s">
        <v>518</v>
      </c>
      <c r="E140" s="686" t="s">
        <v>1102</v>
      </c>
      <c r="F140" s="681" t="s">
        <v>1103</v>
      </c>
      <c r="G140" s="497" t="s">
        <v>439</v>
      </c>
      <c r="H140" s="695">
        <v>72302</v>
      </c>
      <c r="I140" s="615" t="s">
        <v>508</v>
      </c>
      <c r="J140" s="615" t="s">
        <v>1104</v>
      </c>
      <c r="K140" s="467" t="s">
        <v>1042</v>
      </c>
      <c r="L140" s="467" t="s">
        <v>511</v>
      </c>
      <c r="M140" s="498" t="s">
        <v>2448</v>
      </c>
    </row>
    <row r="141" spans="1:13" ht="63.75" customHeight="1">
      <c r="A141" s="467">
        <v>121</v>
      </c>
      <c r="B141" s="692" t="s">
        <v>938</v>
      </c>
      <c r="C141" s="688" t="s">
        <v>606</v>
      </c>
      <c r="D141" s="682" t="s">
        <v>1105</v>
      </c>
      <c r="E141" s="681" t="s">
        <v>1106</v>
      </c>
      <c r="F141" s="681" t="s">
        <v>1107</v>
      </c>
      <c r="G141" s="497" t="s">
        <v>439</v>
      </c>
      <c r="H141" s="613" t="s">
        <v>1108</v>
      </c>
      <c r="I141" s="615" t="s">
        <v>1109</v>
      </c>
      <c r="J141" s="615" t="s">
        <v>1104</v>
      </c>
      <c r="K141" s="467" t="s">
        <v>1110</v>
      </c>
      <c r="L141" s="467" t="s">
        <v>511</v>
      </c>
      <c r="M141" s="498" t="s">
        <v>2448</v>
      </c>
    </row>
    <row r="142" spans="1:13" ht="69.75" customHeight="1">
      <c r="A142" s="467">
        <v>122</v>
      </c>
      <c r="B142" s="698" t="s">
        <v>1101</v>
      </c>
      <c r="C142" s="688" t="s">
        <v>1111</v>
      </c>
      <c r="D142" s="685" t="s">
        <v>847</v>
      </c>
      <c r="E142" s="686" t="s">
        <v>1112</v>
      </c>
      <c r="F142" s="681" t="s">
        <v>1113</v>
      </c>
      <c r="G142" s="528" t="s">
        <v>629</v>
      </c>
      <c r="H142" s="613" t="s">
        <v>1114</v>
      </c>
      <c r="I142" s="615" t="s">
        <v>508</v>
      </c>
      <c r="J142" s="467" t="s">
        <v>1100</v>
      </c>
      <c r="K142" s="467" t="s">
        <v>1110</v>
      </c>
      <c r="L142" s="467" t="s">
        <v>511</v>
      </c>
      <c r="M142" s="498" t="s">
        <v>2448</v>
      </c>
    </row>
    <row r="143" spans="1:13" ht="84.75" customHeight="1">
      <c r="A143" s="467">
        <v>123</v>
      </c>
      <c r="B143" s="528" t="s">
        <v>927</v>
      </c>
      <c r="C143" s="688" t="s">
        <v>1115</v>
      </c>
      <c r="D143" s="512" t="s">
        <v>1116</v>
      </c>
      <c r="E143" s="497" t="s">
        <v>1117</v>
      </c>
      <c r="F143" s="528" t="s">
        <v>1118</v>
      </c>
      <c r="G143" s="497" t="s">
        <v>439</v>
      </c>
      <c r="H143" s="614">
        <v>51742</v>
      </c>
      <c r="I143" s="615" t="s">
        <v>1109</v>
      </c>
      <c r="J143" s="615" t="s">
        <v>1119</v>
      </c>
      <c r="K143" s="467" t="s">
        <v>1110</v>
      </c>
      <c r="L143" s="467" t="s">
        <v>511</v>
      </c>
      <c r="M143" s="498" t="s">
        <v>2448</v>
      </c>
    </row>
    <row r="144" spans="1:13" ht="60">
      <c r="A144" s="467">
        <v>124</v>
      </c>
      <c r="B144" s="615" t="s">
        <v>548</v>
      </c>
      <c r="C144" s="688" t="s">
        <v>1120</v>
      </c>
      <c r="D144" s="512" t="s">
        <v>519</v>
      </c>
      <c r="E144" s="536" t="s">
        <v>1121</v>
      </c>
      <c r="F144" s="615" t="s">
        <v>1122</v>
      </c>
      <c r="G144" s="528" t="s">
        <v>419</v>
      </c>
      <c r="H144" s="614">
        <v>12222</v>
      </c>
      <c r="I144" s="528" t="s">
        <v>449</v>
      </c>
      <c r="J144" s="615" t="s">
        <v>1123</v>
      </c>
      <c r="K144" s="536"/>
      <c r="L144" s="536" t="s">
        <v>424</v>
      </c>
      <c r="M144" s="498" t="s">
        <v>2448</v>
      </c>
    </row>
    <row r="145" spans="1:13" ht="60">
      <c r="A145" s="467">
        <v>125</v>
      </c>
      <c r="B145" s="615" t="s">
        <v>1124</v>
      </c>
      <c r="C145" s="688" t="s">
        <v>1058</v>
      </c>
      <c r="D145" s="512" t="s">
        <v>2515</v>
      </c>
      <c r="E145" s="536" t="s">
        <v>1125</v>
      </c>
      <c r="F145" s="467" t="s">
        <v>1126</v>
      </c>
      <c r="G145" s="528" t="s">
        <v>419</v>
      </c>
      <c r="H145" s="615" t="s">
        <v>1127</v>
      </c>
      <c r="I145" s="615"/>
      <c r="J145" s="615" t="s">
        <v>1123</v>
      </c>
      <c r="K145" s="536"/>
      <c r="L145" s="536" t="s">
        <v>424</v>
      </c>
      <c r="M145" s="498" t="s">
        <v>2448</v>
      </c>
    </row>
    <row r="146" spans="1:13" ht="60">
      <c r="A146" s="467">
        <v>126</v>
      </c>
      <c r="B146" s="615" t="s">
        <v>552</v>
      </c>
      <c r="C146" s="688" t="s">
        <v>1120</v>
      </c>
      <c r="D146" s="512" t="s">
        <v>553</v>
      </c>
      <c r="E146" s="536" t="s">
        <v>1128</v>
      </c>
      <c r="F146" s="615" t="s">
        <v>1129</v>
      </c>
      <c r="G146" s="528" t="s">
        <v>419</v>
      </c>
      <c r="H146" s="614">
        <v>12923</v>
      </c>
      <c r="I146" s="615"/>
      <c r="J146" s="615" t="s">
        <v>1123</v>
      </c>
      <c r="K146" s="536"/>
      <c r="L146" s="536" t="s">
        <v>424</v>
      </c>
      <c r="M146" s="498" t="s">
        <v>2448</v>
      </c>
    </row>
    <row r="147" spans="1:13" ht="60">
      <c r="A147" s="467">
        <v>127</v>
      </c>
      <c r="B147" s="467" t="s">
        <v>1130</v>
      </c>
      <c r="C147" s="694" t="s">
        <v>1058</v>
      </c>
      <c r="D147" s="512" t="s">
        <v>475</v>
      </c>
      <c r="E147" s="536" t="s">
        <v>1131</v>
      </c>
      <c r="F147" s="467" t="s">
        <v>1132</v>
      </c>
      <c r="G147" s="528" t="s">
        <v>419</v>
      </c>
      <c r="H147" s="615" t="s">
        <v>1133</v>
      </c>
      <c r="I147" s="528" t="s">
        <v>449</v>
      </c>
      <c r="J147" s="467" t="s">
        <v>457</v>
      </c>
      <c r="K147" s="680"/>
      <c r="L147" s="536" t="s">
        <v>424</v>
      </c>
      <c r="M147" s="498" t="s">
        <v>2448</v>
      </c>
    </row>
    <row r="148" spans="1:13" ht="60">
      <c r="A148" s="467">
        <v>128</v>
      </c>
      <c r="B148" s="615" t="s">
        <v>1134</v>
      </c>
      <c r="C148" s="694" t="s">
        <v>1135</v>
      </c>
      <c r="D148" s="512" t="s">
        <v>569</v>
      </c>
      <c r="E148" s="536" t="s">
        <v>1136</v>
      </c>
      <c r="F148" s="615" t="s">
        <v>1137</v>
      </c>
      <c r="G148" s="528" t="s">
        <v>629</v>
      </c>
      <c r="H148" s="614">
        <v>10697</v>
      </c>
      <c r="I148" s="615"/>
      <c r="J148" s="467" t="s">
        <v>457</v>
      </c>
      <c r="K148" s="536"/>
      <c r="L148" s="536" t="s">
        <v>424</v>
      </c>
      <c r="M148" s="498" t="s">
        <v>2448</v>
      </c>
    </row>
    <row r="149" spans="1:13" ht="60">
      <c r="A149" s="467">
        <v>129</v>
      </c>
      <c r="B149" s="615" t="s">
        <v>1138</v>
      </c>
      <c r="C149" s="688" t="s">
        <v>1139</v>
      </c>
      <c r="D149" s="512" t="s">
        <v>445</v>
      </c>
      <c r="E149" s="536" t="s">
        <v>1140</v>
      </c>
      <c r="F149" s="615" t="s">
        <v>1141</v>
      </c>
      <c r="G149" s="528" t="s">
        <v>419</v>
      </c>
      <c r="H149" s="536" t="s">
        <v>1142</v>
      </c>
      <c r="I149" s="528" t="s">
        <v>449</v>
      </c>
      <c r="J149" s="467" t="s">
        <v>457</v>
      </c>
      <c r="K149" s="536"/>
      <c r="L149" s="536" t="s">
        <v>424</v>
      </c>
      <c r="M149" s="498" t="s">
        <v>2448</v>
      </c>
    </row>
    <row r="150" spans="1:13" ht="57.75" customHeight="1">
      <c r="A150" s="467">
        <v>130</v>
      </c>
      <c r="B150" s="528" t="s">
        <v>1143</v>
      </c>
      <c r="C150" s="688" t="s">
        <v>1144</v>
      </c>
      <c r="D150" s="512" t="s">
        <v>1145</v>
      </c>
      <c r="E150" s="497" t="s">
        <v>1146</v>
      </c>
      <c r="F150" s="707" t="s">
        <v>1147</v>
      </c>
      <c r="G150" s="528" t="s">
        <v>430</v>
      </c>
      <c r="H150" s="528" t="s">
        <v>1148</v>
      </c>
      <c r="I150" s="615" t="s">
        <v>1149</v>
      </c>
      <c r="J150" s="528" t="s">
        <v>1150</v>
      </c>
      <c r="K150" s="536"/>
      <c r="L150" s="528" t="s">
        <v>633</v>
      </c>
      <c r="M150" s="498" t="s">
        <v>2448</v>
      </c>
    </row>
    <row r="151" spans="1:13" ht="45">
      <c r="A151" s="467">
        <v>131</v>
      </c>
      <c r="B151" s="528" t="s">
        <v>1151</v>
      </c>
      <c r="C151" s="688" t="s">
        <v>1005</v>
      </c>
      <c r="D151" s="717" t="s">
        <v>1005</v>
      </c>
      <c r="E151" s="616" t="s">
        <v>1152</v>
      </c>
      <c r="F151" s="707" t="s">
        <v>1153</v>
      </c>
      <c r="G151" s="497" t="s">
        <v>439</v>
      </c>
      <c r="H151" s="497" t="s">
        <v>1154</v>
      </c>
      <c r="I151" s="528" t="s">
        <v>1155</v>
      </c>
      <c r="J151" s="615" t="s">
        <v>1156</v>
      </c>
      <c r="K151" s="536"/>
      <c r="L151" s="528" t="s">
        <v>633</v>
      </c>
      <c r="M151" s="498" t="s">
        <v>2448</v>
      </c>
    </row>
    <row r="152" spans="1:13" ht="69.75" customHeight="1">
      <c r="A152" s="467">
        <v>132</v>
      </c>
      <c r="B152" s="698" t="s">
        <v>846</v>
      </c>
      <c r="C152" s="688" t="s">
        <v>1157</v>
      </c>
      <c r="D152" s="717" t="s">
        <v>416</v>
      </c>
      <c r="E152" s="616" t="s">
        <v>1158</v>
      </c>
      <c r="F152" s="616" t="s">
        <v>1159</v>
      </c>
      <c r="G152" s="528" t="s">
        <v>419</v>
      </c>
      <c r="H152" s="497" t="s">
        <v>1160</v>
      </c>
      <c r="I152" s="615"/>
      <c r="J152" s="615" t="s">
        <v>1156</v>
      </c>
      <c r="K152" s="536"/>
      <c r="L152" s="528" t="s">
        <v>511</v>
      </c>
      <c r="M152" s="498" t="s">
        <v>2448</v>
      </c>
    </row>
    <row r="153" spans="1:13" ht="60">
      <c r="A153" s="467">
        <v>133</v>
      </c>
      <c r="B153" s="698" t="s">
        <v>846</v>
      </c>
      <c r="C153" s="688" t="s">
        <v>606</v>
      </c>
      <c r="D153" s="708" t="s">
        <v>2516</v>
      </c>
      <c r="E153" s="528" t="s">
        <v>1161</v>
      </c>
      <c r="F153" s="528" t="s">
        <v>1162</v>
      </c>
      <c r="G153" s="528" t="s">
        <v>901</v>
      </c>
      <c r="H153" s="497" t="s">
        <v>1163</v>
      </c>
      <c r="I153" s="528" t="s">
        <v>986</v>
      </c>
      <c r="J153" s="615" t="s">
        <v>1156</v>
      </c>
      <c r="K153" s="536"/>
      <c r="L153" s="536" t="s">
        <v>511</v>
      </c>
      <c r="M153" s="498" t="s">
        <v>2448</v>
      </c>
    </row>
    <row r="154" spans="1:13" ht="48.75" customHeight="1">
      <c r="A154" s="467">
        <v>134</v>
      </c>
      <c r="B154" s="718" t="s">
        <v>1164</v>
      </c>
      <c r="C154" s="719" t="s">
        <v>1165</v>
      </c>
      <c r="D154" s="720" t="s">
        <v>427</v>
      </c>
      <c r="E154" s="672" t="s">
        <v>1166</v>
      </c>
      <c r="F154" s="721"/>
      <c r="G154" s="497" t="s">
        <v>499</v>
      </c>
      <c r="H154" s="536"/>
      <c r="I154" s="615" t="s">
        <v>1167</v>
      </c>
      <c r="J154" s="497" t="s">
        <v>1168</v>
      </c>
      <c r="K154" s="536"/>
      <c r="L154" s="536" t="s">
        <v>1169</v>
      </c>
      <c r="M154" s="536"/>
    </row>
    <row r="155" spans="1:13" ht="60">
      <c r="A155" s="467">
        <v>135</v>
      </c>
      <c r="B155" s="718" t="s">
        <v>1164</v>
      </c>
      <c r="C155" s="719" t="s">
        <v>1170</v>
      </c>
      <c r="D155" s="720" t="s">
        <v>453</v>
      </c>
      <c r="E155" s="672" t="s">
        <v>1171</v>
      </c>
      <c r="F155" s="721"/>
      <c r="G155" s="497" t="s">
        <v>499</v>
      </c>
      <c r="H155" s="536"/>
      <c r="I155" s="615" t="s">
        <v>1172</v>
      </c>
      <c r="J155" s="497" t="s">
        <v>1168</v>
      </c>
      <c r="K155" s="536"/>
      <c r="L155" s="536" t="s">
        <v>1169</v>
      </c>
      <c r="M155" s="536"/>
    </row>
    <row r="156" spans="1:13" ht="60">
      <c r="A156" s="467">
        <v>136</v>
      </c>
      <c r="B156" s="528" t="s">
        <v>1173</v>
      </c>
      <c r="C156" s="688" t="s">
        <v>898</v>
      </c>
      <c r="D156" s="512" t="s">
        <v>865</v>
      </c>
      <c r="E156" s="497" t="s">
        <v>1174</v>
      </c>
      <c r="F156" s="528" t="s">
        <v>1175</v>
      </c>
      <c r="G156" s="528" t="s">
        <v>419</v>
      </c>
      <c r="H156" s="528" t="s">
        <v>1176</v>
      </c>
      <c r="I156" s="615" t="s">
        <v>1177</v>
      </c>
      <c r="J156" s="536"/>
      <c r="K156" s="536"/>
      <c r="L156" s="536" t="s">
        <v>511</v>
      </c>
      <c r="M156" s="536" t="s">
        <v>2448</v>
      </c>
    </row>
    <row r="157" spans="1:13" ht="90">
      <c r="A157" s="467">
        <v>137</v>
      </c>
      <c r="B157" s="528" t="s">
        <v>1178</v>
      </c>
      <c r="C157" s="688" t="s">
        <v>898</v>
      </c>
      <c r="D157" s="512" t="s">
        <v>865</v>
      </c>
      <c r="E157" s="497" t="s">
        <v>1179</v>
      </c>
      <c r="F157" s="528" t="s">
        <v>1180</v>
      </c>
      <c r="G157" s="528" t="s">
        <v>419</v>
      </c>
      <c r="H157" s="528" t="s">
        <v>1181</v>
      </c>
      <c r="I157" s="615" t="s">
        <v>1177</v>
      </c>
      <c r="J157" s="467" t="s">
        <v>1076</v>
      </c>
      <c r="K157" s="536"/>
      <c r="L157" s="536" t="s">
        <v>511</v>
      </c>
      <c r="M157" s="536" t="s">
        <v>2448</v>
      </c>
    </row>
    <row r="158" spans="1:13" ht="60">
      <c r="A158" s="467">
        <v>138</v>
      </c>
      <c r="B158" s="698" t="s">
        <v>1182</v>
      </c>
      <c r="C158" s="688" t="s">
        <v>1183</v>
      </c>
      <c r="D158" s="512" t="s">
        <v>734</v>
      </c>
      <c r="E158" s="497" t="s">
        <v>1184</v>
      </c>
      <c r="F158" s="528" t="s">
        <v>1185</v>
      </c>
      <c r="G158" s="528" t="s">
        <v>901</v>
      </c>
      <c r="H158" s="617" t="s">
        <v>1186</v>
      </c>
      <c r="I158" s="615" t="s">
        <v>1177</v>
      </c>
      <c r="J158" s="467" t="s">
        <v>863</v>
      </c>
      <c r="K158" s="536"/>
      <c r="L158" s="497" t="s">
        <v>511</v>
      </c>
      <c r="M158" s="536" t="s">
        <v>2448</v>
      </c>
    </row>
    <row r="159" spans="1:13" ht="75">
      <c r="A159" s="467">
        <v>139</v>
      </c>
      <c r="B159" s="528" t="s">
        <v>1187</v>
      </c>
      <c r="C159" s="688" t="s">
        <v>1111</v>
      </c>
      <c r="D159" s="512" t="s">
        <v>1209</v>
      </c>
      <c r="E159" s="497" t="s">
        <v>1188</v>
      </c>
      <c r="F159" s="528" t="s">
        <v>1189</v>
      </c>
      <c r="G159" s="528" t="s">
        <v>430</v>
      </c>
      <c r="H159" s="613" t="s">
        <v>1190</v>
      </c>
      <c r="I159" s="615" t="s">
        <v>1177</v>
      </c>
      <c r="J159" s="467" t="s">
        <v>863</v>
      </c>
      <c r="K159" s="536"/>
      <c r="L159" s="536" t="s">
        <v>511</v>
      </c>
      <c r="M159" s="536" t="s">
        <v>2448</v>
      </c>
    </row>
    <row r="160" spans="1:13" ht="75">
      <c r="A160" s="467">
        <v>140</v>
      </c>
      <c r="B160" s="698" t="s">
        <v>1191</v>
      </c>
      <c r="C160" s="688" t="s">
        <v>1111</v>
      </c>
      <c r="D160" s="512" t="s">
        <v>1209</v>
      </c>
      <c r="E160" s="497" t="s">
        <v>1192</v>
      </c>
      <c r="F160" s="528" t="s">
        <v>1193</v>
      </c>
      <c r="G160" s="528" t="s">
        <v>430</v>
      </c>
      <c r="H160" s="702">
        <v>32530</v>
      </c>
      <c r="I160" s="615" t="s">
        <v>1177</v>
      </c>
      <c r="J160" s="467" t="s">
        <v>863</v>
      </c>
      <c r="K160" s="536"/>
      <c r="L160" s="536" t="s">
        <v>511</v>
      </c>
      <c r="M160" s="536" t="s">
        <v>2448</v>
      </c>
    </row>
    <row r="161" spans="1:13" ht="60">
      <c r="A161" s="467">
        <v>141</v>
      </c>
      <c r="B161" s="528" t="s">
        <v>1194</v>
      </c>
      <c r="C161" s="688" t="s">
        <v>690</v>
      </c>
      <c r="D161" s="512" t="s">
        <v>691</v>
      </c>
      <c r="E161" s="715" t="s">
        <v>1195</v>
      </c>
      <c r="F161" s="716" t="s">
        <v>1196</v>
      </c>
      <c r="G161" s="497" t="s">
        <v>439</v>
      </c>
      <c r="H161" s="702">
        <v>39801</v>
      </c>
      <c r="I161" s="615" t="s">
        <v>1177</v>
      </c>
      <c r="J161" s="467" t="s">
        <v>863</v>
      </c>
      <c r="K161" s="536"/>
      <c r="L161" s="536" t="s">
        <v>511</v>
      </c>
      <c r="M161" s="536" t="s">
        <v>2448</v>
      </c>
    </row>
    <row r="162" spans="1:13" ht="60">
      <c r="A162" s="467">
        <v>142</v>
      </c>
      <c r="B162" s="698" t="s">
        <v>1197</v>
      </c>
      <c r="C162" s="688" t="s">
        <v>690</v>
      </c>
      <c r="D162" s="512" t="s">
        <v>691</v>
      </c>
      <c r="E162" s="497" t="s">
        <v>1198</v>
      </c>
      <c r="F162" s="528" t="s">
        <v>1199</v>
      </c>
      <c r="G162" s="497" t="s">
        <v>439</v>
      </c>
      <c r="H162" s="702">
        <v>43942</v>
      </c>
      <c r="I162" s="615" t="s">
        <v>1177</v>
      </c>
      <c r="J162" s="467" t="s">
        <v>863</v>
      </c>
      <c r="K162" s="536"/>
      <c r="L162" s="536" t="s">
        <v>511</v>
      </c>
      <c r="M162" s="536" t="s">
        <v>2448</v>
      </c>
    </row>
    <row r="163" spans="1:13" ht="60">
      <c r="A163" s="467">
        <v>143</v>
      </c>
      <c r="B163" s="698" t="s">
        <v>1200</v>
      </c>
      <c r="C163" s="688" t="s">
        <v>1201</v>
      </c>
      <c r="D163" s="512" t="s">
        <v>847</v>
      </c>
      <c r="E163" s="497" t="s">
        <v>1202</v>
      </c>
      <c r="F163" s="528" t="s">
        <v>1203</v>
      </c>
      <c r="G163" s="497" t="s">
        <v>499</v>
      </c>
      <c r="H163" s="617" t="s">
        <v>1204</v>
      </c>
      <c r="I163" s="615"/>
      <c r="J163" s="467" t="s">
        <v>863</v>
      </c>
      <c r="K163" s="536"/>
      <c r="L163" s="497" t="s">
        <v>1205</v>
      </c>
      <c r="M163" s="536" t="s">
        <v>2448</v>
      </c>
    </row>
    <row r="164" spans="1:13" ht="60">
      <c r="A164" s="467">
        <v>144</v>
      </c>
      <c r="B164" s="698" t="s">
        <v>1200</v>
      </c>
      <c r="C164" s="688" t="s">
        <v>1201</v>
      </c>
      <c r="D164" s="512" t="s">
        <v>734</v>
      </c>
      <c r="E164" s="497" t="s">
        <v>1206</v>
      </c>
      <c r="F164" s="528" t="s">
        <v>1207</v>
      </c>
      <c r="G164" s="497" t="s">
        <v>499</v>
      </c>
      <c r="H164" s="617" t="s">
        <v>1208</v>
      </c>
      <c r="I164" s="615"/>
      <c r="J164" s="467" t="s">
        <v>863</v>
      </c>
      <c r="K164" s="536"/>
      <c r="L164" s="497" t="s">
        <v>1205</v>
      </c>
      <c r="M164" s="536" t="s">
        <v>2448</v>
      </c>
    </row>
    <row r="165" spans="1:13" ht="60">
      <c r="A165" s="467">
        <v>145</v>
      </c>
      <c r="B165" s="698" t="s">
        <v>1200</v>
      </c>
      <c r="C165" s="688" t="s">
        <v>1201</v>
      </c>
      <c r="D165" s="512" t="s">
        <v>1209</v>
      </c>
      <c r="E165" s="497" t="s">
        <v>1210</v>
      </c>
      <c r="F165" s="528" t="s">
        <v>1211</v>
      </c>
      <c r="G165" s="497" t="s">
        <v>499</v>
      </c>
      <c r="H165" s="617" t="s">
        <v>1212</v>
      </c>
      <c r="I165" s="615"/>
      <c r="J165" s="467" t="s">
        <v>1213</v>
      </c>
      <c r="K165" s="536"/>
      <c r="L165" s="497" t="s">
        <v>1205</v>
      </c>
      <c r="M165" s="536" t="s">
        <v>2448</v>
      </c>
    </row>
    <row r="166" spans="1:13" ht="58.5" customHeight="1">
      <c r="A166" s="467">
        <v>146</v>
      </c>
      <c r="B166" s="528" t="s">
        <v>1214</v>
      </c>
      <c r="C166" s="688" t="s">
        <v>1157</v>
      </c>
      <c r="D166" s="512" t="s">
        <v>1215</v>
      </c>
      <c r="E166" s="497" t="s">
        <v>1216</v>
      </c>
      <c r="F166" s="528" t="s">
        <v>1217</v>
      </c>
      <c r="G166" s="497" t="s">
        <v>499</v>
      </c>
      <c r="H166" s="528" t="s">
        <v>1218</v>
      </c>
      <c r="I166" s="615" t="s">
        <v>1219</v>
      </c>
      <c r="J166" s="467" t="s">
        <v>1076</v>
      </c>
      <c r="K166" s="536"/>
      <c r="L166" s="621" t="s">
        <v>1205</v>
      </c>
      <c r="M166" s="536" t="s">
        <v>2448</v>
      </c>
    </row>
    <row r="167" spans="1:13" ht="75">
      <c r="A167" s="467">
        <v>147</v>
      </c>
      <c r="B167" s="692" t="s">
        <v>1220</v>
      </c>
      <c r="C167" s="688" t="s">
        <v>1221</v>
      </c>
      <c r="D167" s="512" t="s">
        <v>1222</v>
      </c>
      <c r="E167" s="497" t="s">
        <v>1223</v>
      </c>
      <c r="F167" s="528" t="s">
        <v>1224</v>
      </c>
      <c r="G167" s="497" t="s">
        <v>499</v>
      </c>
      <c r="H167" s="528" t="s">
        <v>1225</v>
      </c>
      <c r="I167" s="528" t="s">
        <v>1226</v>
      </c>
      <c r="J167" s="680" t="s">
        <v>523</v>
      </c>
      <c r="K167" s="536"/>
      <c r="L167" s="494" t="s">
        <v>1205</v>
      </c>
      <c r="M167" s="536" t="s">
        <v>2448</v>
      </c>
    </row>
    <row r="168" spans="1:13" ht="63.75" customHeight="1">
      <c r="A168" s="467">
        <v>148</v>
      </c>
      <c r="B168" s="692" t="s">
        <v>1220</v>
      </c>
      <c r="C168" s="688" t="s">
        <v>1221</v>
      </c>
      <c r="D168" s="512" t="s">
        <v>1222</v>
      </c>
      <c r="E168" s="497" t="s">
        <v>1227</v>
      </c>
      <c r="F168" s="528" t="s">
        <v>1228</v>
      </c>
      <c r="G168" s="497" t="s">
        <v>499</v>
      </c>
      <c r="H168" s="528" t="s">
        <v>1229</v>
      </c>
      <c r="I168" s="528" t="s">
        <v>1226</v>
      </c>
      <c r="J168" s="680" t="s">
        <v>523</v>
      </c>
      <c r="K168" s="536"/>
      <c r="L168" s="494" t="s">
        <v>1205</v>
      </c>
      <c r="M168" s="536" t="s">
        <v>2448</v>
      </c>
    </row>
    <row r="169" spans="1:13" ht="64.5" customHeight="1">
      <c r="A169" s="467">
        <v>149</v>
      </c>
      <c r="B169" s="692" t="s">
        <v>1220</v>
      </c>
      <c r="C169" s="688" t="s">
        <v>1221</v>
      </c>
      <c r="D169" s="512" t="s">
        <v>1222</v>
      </c>
      <c r="E169" s="497" t="s">
        <v>1230</v>
      </c>
      <c r="F169" s="528" t="s">
        <v>1231</v>
      </c>
      <c r="G169" s="497" t="s">
        <v>499</v>
      </c>
      <c r="H169" s="611">
        <v>25000</v>
      </c>
      <c r="I169" s="528" t="s">
        <v>1226</v>
      </c>
      <c r="J169" s="680" t="s">
        <v>523</v>
      </c>
      <c r="K169" s="536"/>
      <c r="L169" s="494" t="s">
        <v>1205</v>
      </c>
      <c r="M169" s="536" t="s">
        <v>2448</v>
      </c>
    </row>
    <row r="170" spans="1:13" ht="75">
      <c r="A170" s="467">
        <v>150</v>
      </c>
      <c r="B170" s="692" t="s">
        <v>1220</v>
      </c>
      <c r="C170" s="688" t="s">
        <v>1221</v>
      </c>
      <c r="D170" s="512" t="s">
        <v>1222</v>
      </c>
      <c r="E170" s="497" t="s">
        <v>1232</v>
      </c>
      <c r="F170" s="528" t="s">
        <v>1233</v>
      </c>
      <c r="G170" s="497" t="s">
        <v>499</v>
      </c>
      <c r="H170" s="618" t="s">
        <v>1234</v>
      </c>
      <c r="I170" s="528" t="s">
        <v>1226</v>
      </c>
      <c r="J170" s="680" t="s">
        <v>523</v>
      </c>
      <c r="K170" s="536"/>
      <c r="L170" s="621" t="s">
        <v>1205</v>
      </c>
      <c r="M170" s="536" t="s">
        <v>2448</v>
      </c>
    </row>
    <row r="171" spans="1:13" ht="66.75" customHeight="1">
      <c r="A171" s="467">
        <v>151</v>
      </c>
      <c r="B171" s="528" t="s">
        <v>1235</v>
      </c>
      <c r="C171" s="694" t="s">
        <v>1236</v>
      </c>
      <c r="D171" s="512" t="s">
        <v>1237</v>
      </c>
      <c r="E171" s="497" t="s">
        <v>1238</v>
      </c>
      <c r="F171" s="528" t="s">
        <v>1239</v>
      </c>
      <c r="G171" s="528" t="s">
        <v>419</v>
      </c>
      <c r="H171" s="614">
        <v>54154</v>
      </c>
      <c r="I171" s="615" t="s">
        <v>1240</v>
      </c>
      <c r="J171" s="467" t="s">
        <v>1241</v>
      </c>
      <c r="K171" s="536"/>
      <c r="L171" s="536" t="s">
        <v>511</v>
      </c>
      <c r="M171" s="536" t="s">
        <v>2448</v>
      </c>
    </row>
    <row r="172" spans="1:13" ht="60">
      <c r="A172" s="467">
        <v>152</v>
      </c>
      <c r="B172" s="722" t="s">
        <v>1242</v>
      </c>
      <c r="C172" s="688" t="s">
        <v>1116</v>
      </c>
      <c r="D172" s="512" t="s">
        <v>553</v>
      </c>
      <c r="E172" s="497" t="s">
        <v>1243</v>
      </c>
      <c r="F172" s="528" t="s">
        <v>1244</v>
      </c>
      <c r="G172" s="528" t="s">
        <v>419</v>
      </c>
      <c r="H172" s="617" t="s">
        <v>1245</v>
      </c>
      <c r="I172" s="615" t="s">
        <v>1246</v>
      </c>
      <c r="J172" s="680" t="s">
        <v>1247</v>
      </c>
      <c r="K172" s="536"/>
      <c r="L172" s="621" t="s">
        <v>511</v>
      </c>
      <c r="M172" s="536" t="s">
        <v>2448</v>
      </c>
    </row>
    <row r="173" spans="1:13" ht="60">
      <c r="A173" s="467">
        <v>153</v>
      </c>
      <c r="B173" s="692" t="s">
        <v>897</v>
      </c>
      <c r="C173" s="688" t="s">
        <v>1116</v>
      </c>
      <c r="D173" s="512" t="s">
        <v>553</v>
      </c>
      <c r="E173" s="497" t="s">
        <v>1248</v>
      </c>
      <c r="F173" s="528" t="s">
        <v>1249</v>
      </c>
      <c r="G173" s="528" t="s">
        <v>419</v>
      </c>
      <c r="H173" s="497" t="s">
        <v>1250</v>
      </c>
      <c r="I173" s="615" t="s">
        <v>1246</v>
      </c>
      <c r="J173" s="680" t="s">
        <v>1247</v>
      </c>
      <c r="K173" s="536"/>
      <c r="L173" s="621" t="s">
        <v>511</v>
      </c>
      <c r="M173" s="536" t="s">
        <v>2448</v>
      </c>
    </row>
    <row r="174" spans="1:13" ht="75">
      <c r="A174" s="467">
        <v>154</v>
      </c>
      <c r="B174" s="467" t="s">
        <v>1251</v>
      </c>
      <c r="C174" s="723" t="s">
        <v>1252</v>
      </c>
      <c r="D174" s="724" t="s">
        <v>865</v>
      </c>
      <c r="E174" s="619" t="s">
        <v>1253</v>
      </c>
      <c r="F174" s="615" t="s">
        <v>1254</v>
      </c>
      <c r="G174" s="493" t="s">
        <v>419</v>
      </c>
      <c r="H174" s="620">
        <v>1834873.29</v>
      </c>
      <c r="I174" s="725"/>
      <c r="J174" s="467" t="s">
        <v>1034</v>
      </c>
      <c r="K174" s="536"/>
      <c r="L174" s="726" t="s">
        <v>424</v>
      </c>
      <c r="M174" s="536" t="s">
        <v>2448</v>
      </c>
    </row>
    <row r="175" spans="1:13" ht="105">
      <c r="A175" s="467">
        <v>155</v>
      </c>
      <c r="B175" s="698" t="s">
        <v>1255</v>
      </c>
      <c r="C175" s="688" t="s">
        <v>1256</v>
      </c>
      <c r="D175" s="512" t="s">
        <v>490</v>
      </c>
      <c r="E175" s="497" t="s">
        <v>1257</v>
      </c>
      <c r="F175" s="528" t="s">
        <v>1258</v>
      </c>
      <c r="G175" s="528" t="s">
        <v>2512</v>
      </c>
      <c r="H175" s="617" t="s">
        <v>1259</v>
      </c>
      <c r="I175" s="528" t="s">
        <v>1017</v>
      </c>
      <c r="J175" s="727" t="s">
        <v>1260</v>
      </c>
      <c r="K175" s="728"/>
      <c r="L175" s="536" t="s">
        <v>511</v>
      </c>
      <c r="M175" s="536" t="s">
        <v>2448</v>
      </c>
    </row>
    <row r="176" spans="1:13" ht="93.75" customHeight="1">
      <c r="A176" s="467">
        <v>156</v>
      </c>
      <c r="B176" s="698" t="s">
        <v>1079</v>
      </c>
      <c r="C176" s="688" t="s">
        <v>1105</v>
      </c>
      <c r="D176" s="512" t="s">
        <v>865</v>
      </c>
      <c r="E176" s="497" t="s">
        <v>1261</v>
      </c>
      <c r="F176" s="528" t="s">
        <v>1262</v>
      </c>
      <c r="G176" s="528" t="s">
        <v>419</v>
      </c>
      <c r="H176" s="497" t="s">
        <v>1263</v>
      </c>
      <c r="I176" s="615" t="s">
        <v>1240</v>
      </c>
      <c r="J176" s="467" t="s">
        <v>1264</v>
      </c>
      <c r="K176" s="536"/>
      <c r="L176" s="536" t="s">
        <v>511</v>
      </c>
      <c r="M176" s="536" t="s">
        <v>2448</v>
      </c>
    </row>
    <row r="177" spans="1:13" ht="105">
      <c r="A177" s="467">
        <v>157</v>
      </c>
      <c r="B177" s="698" t="s">
        <v>1265</v>
      </c>
      <c r="C177" s="688" t="s">
        <v>606</v>
      </c>
      <c r="D177" s="512" t="s">
        <v>490</v>
      </c>
      <c r="E177" s="497" t="s">
        <v>1266</v>
      </c>
      <c r="F177" s="528" t="s">
        <v>1267</v>
      </c>
      <c r="G177" s="528" t="s">
        <v>2512</v>
      </c>
      <c r="H177" s="617" t="s">
        <v>1268</v>
      </c>
      <c r="I177" s="528" t="s">
        <v>1269</v>
      </c>
      <c r="J177" s="467" t="s">
        <v>1270</v>
      </c>
      <c r="K177" s="536"/>
      <c r="L177" s="536" t="s">
        <v>511</v>
      </c>
      <c r="M177" s="536" t="s">
        <v>2448</v>
      </c>
    </row>
    <row r="178" spans="1:13" ht="87.75" customHeight="1">
      <c r="A178" s="467">
        <v>158</v>
      </c>
      <c r="B178" s="698" t="s">
        <v>1079</v>
      </c>
      <c r="C178" s="688" t="s">
        <v>1271</v>
      </c>
      <c r="D178" s="512" t="s">
        <v>714</v>
      </c>
      <c r="E178" s="497" t="s">
        <v>1272</v>
      </c>
      <c r="F178" s="528" t="s">
        <v>1273</v>
      </c>
      <c r="G178" s="528" t="s">
        <v>499</v>
      </c>
      <c r="H178" s="617" t="s">
        <v>1274</v>
      </c>
      <c r="I178" s="528" t="s">
        <v>1275</v>
      </c>
      <c r="J178" s="467" t="s">
        <v>1276</v>
      </c>
      <c r="K178" s="528" t="s">
        <v>1084</v>
      </c>
      <c r="L178" s="497" t="s">
        <v>511</v>
      </c>
      <c r="M178" s="536" t="s">
        <v>2448</v>
      </c>
    </row>
    <row r="179" spans="1:13" ht="75">
      <c r="A179" s="467">
        <v>159</v>
      </c>
      <c r="B179" s="528" t="s">
        <v>1194</v>
      </c>
      <c r="C179" s="688" t="s">
        <v>1277</v>
      </c>
      <c r="D179" s="512" t="s">
        <v>466</v>
      </c>
      <c r="E179" s="497" t="s">
        <v>1279</v>
      </c>
      <c r="F179" s="528" t="s">
        <v>1280</v>
      </c>
      <c r="G179" s="528" t="s">
        <v>629</v>
      </c>
      <c r="H179" s="693">
        <v>83532.78</v>
      </c>
      <c r="I179" s="615"/>
      <c r="J179" s="680" t="s">
        <v>1281</v>
      </c>
      <c r="K179" s="536"/>
      <c r="L179" s="621" t="s">
        <v>511</v>
      </c>
      <c r="M179" s="536" t="s">
        <v>2448</v>
      </c>
    </row>
    <row r="180" spans="1:13" ht="63" customHeight="1">
      <c r="A180" s="467">
        <v>160</v>
      </c>
      <c r="B180" s="528" t="s">
        <v>1282</v>
      </c>
      <c r="C180" s="688" t="s">
        <v>1283</v>
      </c>
      <c r="D180" s="512" t="s">
        <v>1284</v>
      </c>
      <c r="E180" s="497" t="s">
        <v>1285</v>
      </c>
      <c r="F180" s="528" t="s">
        <v>1286</v>
      </c>
      <c r="G180" s="528" t="s">
        <v>419</v>
      </c>
      <c r="H180" s="536" t="s">
        <v>1287</v>
      </c>
      <c r="I180" s="615" t="s">
        <v>994</v>
      </c>
      <c r="J180" s="528" t="s">
        <v>1288</v>
      </c>
      <c r="K180" s="536"/>
      <c r="L180" s="621" t="s">
        <v>472</v>
      </c>
      <c r="M180" s="536" t="s">
        <v>2448</v>
      </c>
    </row>
    <row r="181" spans="1:13" ht="62.25" customHeight="1">
      <c r="A181" s="467">
        <v>161</v>
      </c>
      <c r="B181" s="528" t="s">
        <v>1289</v>
      </c>
      <c r="C181" s="688" t="s">
        <v>1283</v>
      </c>
      <c r="D181" s="512" t="s">
        <v>1290</v>
      </c>
      <c r="E181" s="497" t="s">
        <v>1291</v>
      </c>
      <c r="F181" s="528" t="s">
        <v>1292</v>
      </c>
      <c r="G181" s="528" t="s">
        <v>419</v>
      </c>
      <c r="H181" s="536" t="s">
        <v>1293</v>
      </c>
      <c r="I181" s="615" t="s">
        <v>994</v>
      </c>
      <c r="J181" s="615" t="s">
        <v>1294</v>
      </c>
      <c r="K181" s="536"/>
      <c r="L181" s="621" t="s">
        <v>472</v>
      </c>
      <c r="M181" s="536" t="s">
        <v>2448</v>
      </c>
    </row>
    <row r="182" spans="1:13" ht="60">
      <c r="A182" s="467">
        <v>162</v>
      </c>
      <c r="B182" s="528" t="s">
        <v>1295</v>
      </c>
      <c r="C182" s="688" t="s">
        <v>445</v>
      </c>
      <c r="D182" s="512" t="s">
        <v>445</v>
      </c>
      <c r="E182" s="497" t="s">
        <v>1296</v>
      </c>
      <c r="F182" s="467" t="s">
        <v>1297</v>
      </c>
      <c r="G182" s="497" t="s">
        <v>499</v>
      </c>
      <c r="H182" s="497" t="s">
        <v>1298</v>
      </c>
      <c r="I182" s="615" t="s">
        <v>994</v>
      </c>
      <c r="J182" s="680" t="s">
        <v>1299</v>
      </c>
      <c r="K182" s="467" t="s">
        <v>1300</v>
      </c>
      <c r="L182" s="621" t="s">
        <v>633</v>
      </c>
      <c r="M182" s="536" t="s">
        <v>2448</v>
      </c>
    </row>
    <row r="183" spans="1:13" ht="60">
      <c r="A183" s="467">
        <v>163</v>
      </c>
      <c r="B183" s="698" t="s">
        <v>1182</v>
      </c>
      <c r="C183" s="688" t="s">
        <v>1301</v>
      </c>
      <c r="D183" s="512" t="s">
        <v>1428</v>
      </c>
      <c r="E183" s="497" t="s">
        <v>1302</v>
      </c>
      <c r="F183" s="528" t="s">
        <v>1303</v>
      </c>
      <c r="G183" s="528" t="s">
        <v>629</v>
      </c>
      <c r="H183" s="497" t="s">
        <v>1304</v>
      </c>
      <c r="I183" s="528" t="s">
        <v>1305</v>
      </c>
      <c r="J183" s="680" t="s">
        <v>1247</v>
      </c>
      <c r="K183" s="536"/>
      <c r="L183" s="494" t="s">
        <v>511</v>
      </c>
      <c r="M183" s="536" t="s">
        <v>2448</v>
      </c>
    </row>
    <row r="184" spans="1:13" ht="60">
      <c r="A184" s="467">
        <v>164</v>
      </c>
      <c r="B184" s="528" t="s">
        <v>1306</v>
      </c>
      <c r="C184" s="688" t="s">
        <v>1307</v>
      </c>
      <c r="D184" s="512" t="s">
        <v>1237</v>
      </c>
      <c r="E184" s="497" t="s">
        <v>1308</v>
      </c>
      <c r="F184" s="528" t="s">
        <v>1309</v>
      </c>
      <c r="G184" s="528" t="s">
        <v>419</v>
      </c>
      <c r="H184" s="528" t="s">
        <v>1310</v>
      </c>
      <c r="I184" s="615"/>
      <c r="J184" s="680" t="s">
        <v>1247</v>
      </c>
      <c r="K184" s="467" t="s">
        <v>1311</v>
      </c>
      <c r="L184" s="494" t="s">
        <v>1312</v>
      </c>
      <c r="M184" s="536" t="s">
        <v>2448</v>
      </c>
    </row>
    <row r="185" spans="1:13" ht="60">
      <c r="A185" s="467">
        <v>165</v>
      </c>
      <c r="B185" s="615" t="s">
        <v>1313</v>
      </c>
      <c r="C185" s="688" t="s">
        <v>1314</v>
      </c>
      <c r="D185" s="512" t="s">
        <v>847</v>
      </c>
      <c r="E185" s="497" t="s">
        <v>1316</v>
      </c>
      <c r="F185" s="615" t="s">
        <v>1317</v>
      </c>
      <c r="G185" s="528" t="s">
        <v>629</v>
      </c>
      <c r="H185" s="528" t="s">
        <v>1318</v>
      </c>
      <c r="I185" s="615" t="s">
        <v>1319</v>
      </c>
      <c r="J185" s="680" t="s">
        <v>1247</v>
      </c>
      <c r="K185" s="467" t="s">
        <v>1311</v>
      </c>
      <c r="L185" s="621" t="s">
        <v>1312</v>
      </c>
      <c r="M185" s="536" t="s">
        <v>2448</v>
      </c>
    </row>
    <row r="186" spans="1:13" ht="59.25" customHeight="1">
      <c r="A186" s="467">
        <v>166</v>
      </c>
      <c r="B186" s="615" t="s">
        <v>1313</v>
      </c>
      <c r="C186" s="688" t="s">
        <v>1314</v>
      </c>
      <c r="D186" s="512" t="s">
        <v>847</v>
      </c>
      <c r="E186" s="497" t="s">
        <v>1320</v>
      </c>
      <c r="F186" s="615" t="s">
        <v>1321</v>
      </c>
      <c r="G186" s="497" t="s">
        <v>629</v>
      </c>
      <c r="H186" s="615" t="s">
        <v>1322</v>
      </c>
      <c r="I186" s="615" t="s">
        <v>1319</v>
      </c>
      <c r="J186" s="680" t="s">
        <v>1247</v>
      </c>
      <c r="K186" s="467" t="s">
        <v>1311</v>
      </c>
      <c r="L186" s="621" t="s">
        <v>1312</v>
      </c>
      <c r="M186" s="536" t="s">
        <v>2448</v>
      </c>
    </row>
    <row r="187" spans="1:13" ht="60">
      <c r="A187" s="467">
        <v>167</v>
      </c>
      <c r="B187" s="615" t="s">
        <v>1313</v>
      </c>
      <c r="C187" s="688" t="s">
        <v>1314</v>
      </c>
      <c r="D187" s="512" t="s">
        <v>847</v>
      </c>
      <c r="E187" s="497" t="s">
        <v>1323</v>
      </c>
      <c r="F187" s="615" t="s">
        <v>1324</v>
      </c>
      <c r="G187" s="497" t="s">
        <v>629</v>
      </c>
      <c r="H187" s="615" t="s">
        <v>1325</v>
      </c>
      <c r="I187" s="615" t="s">
        <v>1319</v>
      </c>
      <c r="J187" s="680" t="s">
        <v>1247</v>
      </c>
      <c r="K187" s="467" t="s">
        <v>1311</v>
      </c>
      <c r="L187" s="621" t="s">
        <v>1312</v>
      </c>
      <c r="M187" s="536" t="s">
        <v>2448</v>
      </c>
    </row>
    <row r="188" spans="1:13" ht="60">
      <c r="A188" s="467">
        <v>168</v>
      </c>
      <c r="B188" s="615" t="s">
        <v>1313</v>
      </c>
      <c r="C188" s="688" t="s">
        <v>1314</v>
      </c>
      <c r="D188" s="512" t="s">
        <v>847</v>
      </c>
      <c r="E188" s="497" t="s">
        <v>1326</v>
      </c>
      <c r="F188" s="615" t="s">
        <v>1327</v>
      </c>
      <c r="G188" s="497" t="s">
        <v>629</v>
      </c>
      <c r="H188" s="615" t="s">
        <v>1328</v>
      </c>
      <c r="I188" s="615" t="s">
        <v>1319</v>
      </c>
      <c r="J188" s="680" t="s">
        <v>1247</v>
      </c>
      <c r="K188" s="467" t="s">
        <v>1311</v>
      </c>
      <c r="L188" s="621" t="s">
        <v>1312</v>
      </c>
      <c r="M188" s="536" t="s">
        <v>2448</v>
      </c>
    </row>
    <row r="189" spans="1:13" ht="105">
      <c r="A189" s="467">
        <v>169</v>
      </c>
      <c r="B189" s="615" t="s">
        <v>1329</v>
      </c>
      <c r="C189" s="694" t="s">
        <v>1236</v>
      </c>
      <c r="D189" s="512" t="s">
        <v>1237</v>
      </c>
      <c r="E189" s="497" t="s">
        <v>1330</v>
      </c>
      <c r="F189" s="528" t="s">
        <v>1331</v>
      </c>
      <c r="G189" s="528" t="s">
        <v>419</v>
      </c>
      <c r="H189" s="614">
        <v>24369</v>
      </c>
      <c r="I189" s="615" t="s">
        <v>1332</v>
      </c>
      <c r="J189" s="698" t="s">
        <v>1333</v>
      </c>
      <c r="K189" s="536"/>
      <c r="L189" s="621" t="s">
        <v>511</v>
      </c>
      <c r="M189" s="536" t="s">
        <v>2448</v>
      </c>
    </row>
    <row r="190" spans="1:13" ht="75">
      <c r="A190" s="467">
        <v>170</v>
      </c>
      <c r="B190" s="725" t="s">
        <v>1334</v>
      </c>
      <c r="C190" s="729" t="s">
        <v>836</v>
      </c>
      <c r="D190" s="724" t="s">
        <v>847</v>
      </c>
      <c r="E190" s="619" t="s">
        <v>1335</v>
      </c>
      <c r="F190" s="528" t="s">
        <v>1336</v>
      </c>
      <c r="G190" s="493" t="s">
        <v>629</v>
      </c>
      <c r="H190" s="619" t="s">
        <v>1337</v>
      </c>
      <c r="I190" s="725" t="s">
        <v>1010</v>
      </c>
      <c r="J190" s="730" t="s">
        <v>1247</v>
      </c>
      <c r="K190" s="725" t="s">
        <v>926</v>
      </c>
      <c r="L190" s="726" t="s">
        <v>511</v>
      </c>
      <c r="M190" s="536" t="s">
        <v>2448</v>
      </c>
    </row>
    <row r="191" spans="1:13" ht="45" customHeight="1">
      <c r="A191" s="467">
        <v>171</v>
      </c>
      <c r="B191" s="528" t="s">
        <v>1043</v>
      </c>
      <c r="C191" s="688" t="s">
        <v>1005</v>
      </c>
      <c r="D191" s="512" t="s">
        <v>1338</v>
      </c>
      <c r="E191" s="497" t="s">
        <v>1339</v>
      </c>
      <c r="F191" s="528" t="s">
        <v>1340</v>
      </c>
      <c r="G191" s="528" t="s">
        <v>439</v>
      </c>
      <c r="H191" s="731">
        <v>63745.2</v>
      </c>
      <c r="I191" s="615" t="s">
        <v>1010</v>
      </c>
      <c r="J191" s="467" t="s">
        <v>1341</v>
      </c>
      <c r="K191" s="528" t="s">
        <v>1342</v>
      </c>
      <c r="L191" s="621" t="s">
        <v>511</v>
      </c>
      <c r="M191" s="536" t="s">
        <v>2448</v>
      </c>
    </row>
    <row r="192" spans="1:13" ht="58.5" customHeight="1">
      <c r="A192" s="467">
        <v>172</v>
      </c>
      <c r="B192" s="528" t="s">
        <v>1043</v>
      </c>
      <c r="C192" s="688" t="s">
        <v>1343</v>
      </c>
      <c r="D192" s="512" t="s">
        <v>1338</v>
      </c>
      <c r="E192" s="497" t="s">
        <v>1344</v>
      </c>
      <c r="F192" s="528" t="s">
        <v>1345</v>
      </c>
      <c r="G192" s="528" t="s">
        <v>439</v>
      </c>
      <c r="H192" s="731">
        <v>63745.2</v>
      </c>
      <c r="I192" s="528" t="s">
        <v>1346</v>
      </c>
      <c r="J192" s="467" t="s">
        <v>1341</v>
      </c>
      <c r="K192" s="528" t="s">
        <v>1342</v>
      </c>
      <c r="L192" s="621" t="s">
        <v>511</v>
      </c>
      <c r="M192" s="536" t="s">
        <v>2448</v>
      </c>
    </row>
    <row r="193" spans="1:13" ht="60">
      <c r="A193" s="467">
        <v>173</v>
      </c>
      <c r="B193" s="528" t="s">
        <v>1347</v>
      </c>
      <c r="C193" s="688" t="s">
        <v>1348</v>
      </c>
      <c r="D193" s="512" t="s">
        <v>2517</v>
      </c>
      <c r="E193" s="494" t="s">
        <v>1349</v>
      </c>
      <c r="F193" s="528" t="s">
        <v>1350</v>
      </c>
      <c r="G193" s="494" t="s">
        <v>901</v>
      </c>
      <c r="H193" s="497" t="s">
        <v>1351</v>
      </c>
      <c r="I193" s="528" t="s">
        <v>994</v>
      </c>
      <c r="J193" s="680" t="s">
        <v>1247</v>
      </c>
      <c r="K193" s="528" t="s">
        <v>1028</v>
      </c>
      <c r="L193" s="621" t="s">
        <v>511</v>
      </c>
      <c r="M193" s="536" t="s">
        <v>2448</v>
      </c>
    </row>
    <row r="194" spans="1:13" ht="60" customHeight="1">
      <c r="A194" s="467">
        <v>174</v>
      </c>
      <c r="B194" s="528" t="s">
        <v>1352</v>
      </c>
      <c r="C194" s="688" t="s">
        <v>1209</v>
      </c>
      <c r="D194" s="512" t="s">
        <v>1209</v>
      </c>
      <c r="E194" s="494" t="s">
        <v>1353</v>
      </c>
      <c r="F194" s="497">
        <v>822534</v>
      </c>
      <c r="G194" s="494" t="s">
        <v>499</v>
      </c>
      <c r="H194" s="497" t="s">
        <v>1287</v>
      </c>
      <c r="I194" s="732" t="s">
        <v>1354</v>
      </c>
      <c r="J194" s="536" t="s">
        <v>1355</v>
      </c>
      <c r="K194" s="528" t="s">
        <v>1356</v>
      </c>
      <c r="L194" s="621" t="s">
        <v>1357</v>
      </c>
      <c r="M194" s="536" t="s">
        <v>2448</v>
      </c>
    </row>
    <row r="195" spans="1:13" ht="81" customHeight="1">
      <c r="A195" s="467">
        <v>175</v>
      </c>
      <c r="B195" s="528" t="s">
        <v>1352</v>
      </c>
      <c r="C195" s="688" t="s">
        <v>1209</v>
      </c>
      <c r="D195" s="512" t="s">
        <v>1209</v>
      </c>
      <c r="E195" s="494" t="s">
        <v>1358</v>
      </c>
      <c r="F195" s="497">
        <v>13</v>
      </c>
      <c r="G195" s="494" t="s">
        <v>499</v>
      </c>
      <c r="H195" s="497" t="s">
        <v>1154</v>
      </c>
      <c r="I195" s="732" t="s">
        <v>1354</v>
      </c>
      <c r="J195" s="536" t="s">
        <v>1359</v>
      </c>
      <c r="K195" s="528" t="s">
        <v>1356</v>
      </c>
      <c r="L195" s="621" t="s">
        <v>1357</v>
      </c>
      <c r="M195" s="536" t="s">
        <v>2448</v>
      </c>
    </row>
    <row r="196" spans="1:13" ht="105">
      <c r="A196" s="467">
        <v>176</v>
      </c>
      <c r="B196" s="528" t="s">
        <v>1352</v>
      </c>
      <c r="C196" s="688" t="s">
        <v>1209</v>
      </c>
      <c r="D196" s="512" t="s">
        <v>1209</v>
      </c>
      <c r="E196" s="494" t="s">
        <v>1360</v>
      </c>
      <c r="F196" s="497">
        <v>11</v>
      </c>
      <c r="G196" s="494" t="s">
        <v>499</v>
      </c>
      <c r="H196" s="497" t="s">
        <v>1154</v>
      </c>
      <c r="I196" s="732" t="s">
        <v>1354</v>
      </c>
      <c r="J196" s="536" t="s">
        <v>1359</v>
      </c>
      <c r="K196" s="528" t="s">
        <v>1356</v>
      </c>
      <c r="L196" s="621" t="s">
        <v>1357</v>
      </c>
      <c r="M196" s="536" t="s">
        <v>2448</v>
      </c>
    </row>
    <row r="197" spans="1:13" ht="105">
      <c r="A197" s="467">
        <v>177</v>
      </c>
      <c r="B197" s="528" t="s">
        <v>1352</v>
      </c>
      <c r="C197" s="688" t="s">
        <v>1209</v>
      </c>
      <c r="D197" s="512" t="s">
        <v>1209</v>
      </c>
      <c r="E197" s="494" t="s">
        <v>1361</v>
      </c>
      <c r="F197" s="497">
        <v>822535</v>
      </c>
      <c r="G197" s="494" t="s">
        <v>499</v>
      </c>
      <c r="H197" s="497" t="s">
        <v>1287</v>
      </c>
      <c r="I197" s="732" t="s">
        <v>1354</v>
      </c>
      <c r="J197" s="536" t="s">
        <v>1359</v>
      </c>
      <c r="K197" s="528" t="s">
        <v>1356</v>
      </c>
      <c r="L197" s="621" t="s">
        <v>1357</v>
      </c>
      <c r="M197" s="536" t="s">
        <v>2448</v>
      </c>
    </row>
    <row r="198" spans="1:13" ht="105">
      <c r="A198" s="467">
        <v>178</v>
      </c>
      <c r="B198" s="528" t="s">
        <v>1352</v>
      </c>
      <c r="C198" s="688" t="s">
        <v>1209</v>
      </c>
      <c r="D198" s="512" t="s">
        <v>1209</v>
      </c>
      <c r="E198" s="494" t="s">
        <v>1362</v>
      </c>
      <c r="F198" s="497">
        <v>12</v>
      </c>
      <c r="G198" s="494" t="s">
        <v>499</v>
      </c>
      <c r="H198" s="497" t="s">
        <v>1154</v>
      </c>
      <c r="I198" s="732" t="s">
        <v>1354</v>
      </c>
      <c r="J198" s="536" t="s">
        <v>1359</v>
      </c>
      <c r="K198" s="528" t="s">
        <v>1356</v>
      </c>
      <c r="L198" s="621" t="s">
        <v>1357</v>
      </c>
      <c r="M198" s="536" t="s">
        <v>2448</v>
      </c>
    </row>
    <row r="199" spans="1:13" ht="84" customHeight="1">
      <c r="A199" s="467">
        <v>179</v>
      </c>
      <c r="B199" s="528" t="s">
        <v>1352</v>
      </c>
      <c r="C199" s="688" t="s">
        <v>1209</v>
      </c>
      <c r="D199" s="512" t="s">
        <v>1209</v>
      </c>
      <c r="E199" s="494" t="s">
        <v>1363</v>
      </c>
      <c r="F199" s="497">
        <v>15</v>
      </c>
      <c r="G199" s="494" t="s">
        <v>499</v>
      </c>
      <c r="H199" s="497" t="s">
        <v>1154</v>
      </c>
      <c r="I199" s="732" t="s">
        <v>1354</v>
      </c>
      <c r="J199" s="536" t="s">
        <v>1359</v>
      </c>
      <c r="K199" s="528" t="s">
        <v>1356</v>
      </c>
      <c r="L199" s="621" t="s">
        <v>1357</v>
      </c>
      <c r="M199" s="536" t="s">
        <v>2448</v>
      </c>
    </row>
    <row r="200" spans="1:13" ht="54" customHeight="1">
      <c r="A200" s="467">
        <v>180</v>
      </c>
      <c r="B200" s="733" t="s">
        <v>1364</v>
      </c>
      <c r="C200" s="719" t="s">
        <v>1365</v>
      </c>
      <c r="D200" s="720" t="s">
        <v>1366</v>
      </c>
      <c r="E200" s="672" t="s">
        <v>1367</v>
      </c>
      <c r="F200" s="733"/>
      <c r="G200" s="494" t="s">
        <v>430</v>
      </c>
      <c r="H200" s="497"/>
      <c r="I200" s="528" t="s">
        <v>1368</v>
      </c>
      <c r="J200" s="680" t="s">
        <v>1369</v>
      </c>
      <c r="K200" s="497"/>
      <c r="L200" s="621" t="s">
        <v>1370</v>
      </c>
      <c r="M200" s="536"/>
    </row>
    <row r="201" spans="1:13" ht="60">
      <c r="A201" s="467">
        <v>181</v>
      </c>
      <c r="B201" s="528" t="s">
        <v>1306</v>
      </c>
      <c r="C201" s="688" t="s">
        <v>1307</v>
      </c>
      <c r="D201" s="512" t="s">
        <v>1237</v>
      </c>
      <c r="E201" s="497" t="s">
        <v>1371</v>
      </c>
      <c r="F201" s="528" t="s">
        <v>1372</v>
      </c>
      <c r="G201" s="528" t="s">
        <v>419</v>
      </c>
      <c r="H201" s="528" t="s">
        <v>1373</v>
      </c>
      <c r="I201" s="497"/>
      <c r="J201" s="680" t="s">
        <v>1247</v>
      </c>
      <c r="K201" s="497"/>
      <c r="L201" s="621" t="s">
        <v>1312</v>
      </c>
      <c r="M201" s="536" t="s">
        <v>2448</v>
      </c>
    </row>
    <row r="202" spans="1:13" ht="67.5" customHeight="1">
      <c r="A202" s="467">
        <v>182</v>
      </c>
      <c r="B202" s="698" t="s">
        <v>1101</v>
      </c>
      <c r="C202" s="688" t="s">
        <v>1277</v>
      </c>
      <c r="D202" s="512" t="s">
        <v>490</v>
      </c>
      <c r="E202" s="494" t="s">
        <v>1374</v>
      </c>
      <c r="F202" s="528" t="s">
        <v>1375</v>
      </c>
      <c r="G202" s="528" t="s">
        <v>419</v>
      </c>
      <c r="H202" s="497" t="s">
        <v>1376</v>
      </c>
      <c r="I202" s="528" t="s">
        <v>1377</v>
      </c>
      <c r="J202" s="467" t="s">
        <v>1378</v>
      </c>
      <c r="K202" s="528" t="s">
        <v>926</v>
      </c>
      <c r="L202" s="621" t="s">
        <v>511</v>
      </c>
      <c r="M202" s="536" t="s">
        <v>2448</v>
      </c>
    </row>
    <row r="203" spans="1:13" ht="75">
      <c r="A203" s="467">
        <v>183</v>
      </c>
      <c r="B203" s="467" t="s">
        <v>1251</v>
      </c>
      <c r="C203" s="688" t="s">
        <v>1379</v>
      </c>
      <c r="D203" s="512" t="s">
        <v>569</v>
      </c>
      <c r="E203" s="494" t="s">
        <v>1380</v>
      </c>
      <c r="F203" s="528" t="s">
        <v>1381</v>
      </c>
      <c r="G203" s="698" t="s">
        <v>419</v>
      </c>
      <c r="H203" s="497" t="s">
        <v>1382</v>
      </c>
      <c r="I203" s="497"/>
      <c r="J203" s="467" t="s">
        <v>1034</v>
      </c>
      <c r="K203" s="497"/>
      <c r="L203" s="621" t="s">
        <v>424</v>
      </c>
      <c r="M203" s="536" t="s">
        <v>2448</v>
      </c>
    </row>
    <row r="204" spans="1:13" ht="75">
      <c r="A204" s="467">
        <v>184</v>
      </c>
      <c r="B204" s="467" t="s">
        <v>1383</v>
      </c>
      <c r="C204" s="688" t="s">
        <v>1384</v>
      </c>
      <c r="D204" s="512" t="s">
        <v>943</v>
      </c>
      <c r="E204" s="494" t="s">
        <v>1385</v>
      </c>
      <c r="F204" s="467" t="s">
        <v>1386</v>
      </c>
      <c r="G204" s="494" t="s">
        <v>499</v>
      </c>
      <c r="H204" s="734" t="s">
        <v>1387</v>
      </c>
      <c r="I204" s="497"/>
      <c r="J204" s="467" t="s">
        <v>1388</v>
      </c>
      <c r="K204" s="467" t="s">
        <v>1389</v>
      </c>
      <c r="L204" s="621" t="s">
        <v>633</v>
      </c>
      <c r="M204" s="536" t="s">
        <v>2448</v>
      </c>
    </row>
    <row r="205" spans="1:13" ht="60">
      <c r="A205" s="467">
        <v>185</v>
      </c>
      <c r="B205" s="467" t="s">
        <v>1390</v>
      </c>
      <c r="C205" s="688" t="s">
        <v>1391</v>
      </c>
      <c r="D205" s="512" t="s">
        <v>1392</v>
      </c>
      <c r="E205" s="494" t="s">
        <v>1393</v>
      </c>
      <c r="F205" s="467" t="s">
        <v>1394</v>
      </c>
      <c r="G205" s="494" t="s">
        <v>499</v>
      </c>
      <c r="H205" s="497" t="s">
        <v>1395</v>
      </c>
      <c r="I205" s="497"/>
      <c r="J205" s="467" t="s">
        <v>863</v>
      </c>
      <c r="K205" s="467" t="s">
        <v>1389</v>
      </c>
      <c r="L205" s="621" t="s">
        <v>633</v>
      </c>
      <c r="M205" s="536" t="s">
        <v>2448</v>
      </c>
    </row>
    <row r="206" spans="1:13" ht="60">
      <c r="A206" s="467">
        <v>186</v>
      </c>
      <c r="B206" s="698" t="s">
        <v>1396</v>
      </c>
      <c r="C206" s="688" t="s">
        <v>1384</v>
      </c>
      <c r="D206" s="512" t="s">
        <v>943</v>
      </c>
      <c r="E206" s="494" t="s">
        <v>1397</v>
      </c>
      <c r="F206" s="698" t="s">
        <v>1398</v>
      </c>
      <c r="G206" s="494" t="s">
        <v>499</v>
      </c>
      <c r="H206" s="497" t="s">
        <v>1399</v>
      </c>
      <c r="I206" s="497"/>
      <c r="J206" s="698" t="s">
        <v>1400</v>
      </c>
      <c r="K206" s="467" t="s">
        <v>1389</v>
      </c>
      <c r="L206" s="621" t="s">
        <v>633</v>
      </c>
      <c r="M206" s="536" t="s">
        <v>2448</v>
      </c>
    </row>
    <row r="207" spans="1:13" ht="90">
      <c r="A207" s="467">
        <v>187</v>
      </c>
      <c r="B207" s="698" t="s">
        <v>1401</v>
      </c>
      <c r="C207" s="688" t="s">
        <v>942</v>
      </c>
      <c r="D207" s="512" t="s">
        <v>943</v>
      </c>
      <c r="E207" s="494" t="s">
        <v>1402</v>
      </c>
      <c r="F207" s="698" t="s">
        <v>1403</v>
      </c>
      <c r="G207" s="698" t="s">
        <v>967</v>
      </c>
      <c r="H207" s="497" t="s">
        <v>1298</v>
      </c>
      <c r="I207" s="528" t="s">
        <v>969</v>
      </c>
      <c r="J207" s="698" t="s">
        <v>1404</v>
      </c>
      <c r="K207" s="497"/>
      <c r="L207" s="621" t="s">
        <v>633</v>
      </c>
      <c r="M207" s="536" t="s">
        <v>2448</v>
      </c>
    </row>
    <row r="208" spans="1:13" ht="114.75">
      <c r="A208" s="467">
        <v>188</v>
      </c>
      <c r="B208" s="467" t="s">
        <v>1405</v>
      </c>
      <c r="C208" s="467" t="s">
        <v>1406</v>
      </c>
      <c r="D208" s="682" t="s">
        <v>2518</v>
      </c>
      <c r="E208" s="698" t="s">
        <v>2519</v>
      </c>
      <c r="F208" s="467">
        <v>399626</v>
      </c>
      <c r="G208" s="621" t="s">
        <v>499</v>
      </c>
      <c r="H208" s="695" t="s">
        <v>1408</v>
      </c>
      <c r="I208" s="467" t="s">
        <v>1409</v>
      </c>
      <c r="J208" s="735" t="s">
        <v>1410</v>
      </c>
      <c r="K208" s="536"/>
      <c r="L208" s="621" t="s">
        <v>1370</v>
      </c>
      <c r="M208" s="536" t="s">
        <v>2448</v>
      </c>
    </row>
    <row r="209" spans="1:13" ht="56.25" customHeight="1">
      <c r="A209" s="467">
        <v>189</v>
      </c>
      <c r="B209" s="467" t="s">
        <v>1405</v>
      </c>
      <c r="C209" s="467" t="s">
        <v>1406</v>
      </c>
      <c r="D209" s="682" t="s">
        <v>2518</v>
      </c>
      <c r="E209" s="698" t="s">
        <v>2520</v>
      </c>
      <c r="F209" s="467">
        <v>401500</v>
      </c>
      <c r="G209" s="621" t="s">
        <v>499</v>
      </c>
      <c r="H209" s="695" t="s">
        <v>1412</v>
      </c>
      <c r="I209" s="467" t="s">
        <v>1409</v>
      </c>
      <c r="J209" s="735" t="s">
        <v>1410</v>
      </c>
      <c r="K209" s="536"/>
      <c r="L209" s="621" t="s">
        <v>1370</v>
      </c>
      <c r="M209" s="536" t="s">
        <v>2448</v>
      </c>
    </row>
    <row r="210" spans="1:13" ht="60">
      <c r="A210" s="467">
        <v>190</v>
      </c>
      <c r="B210" s="718" t="s">
        <v>1413</v>
      </c>
      <c r="C210" s="736" t="s">
        <v>1414</v>
      </c>
      <c r="D210" s="720" t="s">
        <v>1415</v>
      </c>
      <c r="E210" s="721" t="s">
        <v>1416</v>
      </c>
      <c r="F210" s="721"/>
      <c r="G210" s="621" t="s">
        <v>499</v>
      </c>
      <c r="H210" s="536"/>
      <c r="I210" s="615" t="s">
        <v>1417</v>
      </c>
      <c r="J210" s="615" t="s">
        <v>1418</v>
      </c>
      <c r="K210" s="536"/>
      <c r="L210" s="621" t="s">
        <v>1419</v>
      </c>
      <c r="M210" s="536"/>
    </row>
    <row r="211" spans="1:13" ht="75">
      <c r="A211" s="467">
        <v>191</v>
      </c>
      <c r="B211" s="698" t="s">
        <v>517</v>
      </c>
      <c r="C211" s="688" t="s">
        <v>518</v>
      </c>
      <c r="D211" s="512" t="s">
        <v>519</v>
      </c>
      <c r="E211" s="497" t="s">
        <v>1420</v>
      </c>
      <c r="F211" s="528" t="s">
        <v>1421</v>
      </c>
      <c r="G211" s="528" t="s">
        <v>419</v>
      </c>
      <c r="H211" s="611">
        <v>95826</v>
      </c>
      <c r="I211" s="528" t="s">
        <v>1422</v>
      </c>
      <c r="J211" s="680" t="s">
        <v>523</v>
      </c>
      <c r="K211" s="536"/>
      <c r="L211" s="621" t="s">
        <v>511</v>
      </c>
      <c r="M211" s="536" t="s">
        <v>2448</v>
      </c>
    </row>
    <row r="212" spans="1:13" ht="75">
      <c r="A212" s="467">
        <v>192</v>
      </c>
      <c r="B212" s="722" t="s">
        <v>528</v>
      </c>
      <c r="C212" s="723" t="s">
        <v>518</v>
      </c>
      <c r="D212" s="724" t="s">
        <v>1209</v>
      </c>
      <c r="E212" s="495" t="s">
        <v>1423</v>
      </c>
      <c r="F212" s="493" t="s">
        <v>1424</v>
      </c>
      <c r="G212" s="493" t="s">
        <v>430</v>
      </c>
      <c r="H212" s="493" t="s">
        <v>1425</v>
      </c>
      <c r="I212" s="493" t="s">
        <v>1426</v>
      </c>
      <c r="J212" s="730" t="s">
        <v>523</v>
      </c>
      <c r="K212" s="619"/>
      <c r="L212" s="726" t="s">
        <v>511</v>
      </c>
      <c r="M212" s="536" t="s">
        <v>2448</v>
      </c>
    </row>
    <row r="213" spans="1:13" ht="75">
      <c r="A213" s="467">
        <v>193</v>
      </c>
      <c r="B213" s="718" t="s">
        <v>1427</v>
      </c>
      <c r="C213" s="719" t="s">
        <v>1428</v>
      </c>
      <c r="D213" s="720" t="s">
        <v>1428</v>
      </c>
      <c r="E213" s="733" t="s">
        <v>1429</v>
      </c>
      <c r="F213" s="733"/>
      <c r="G213" s="494" t="s">
        <v>499</v>
      </c>
      <c r="H213" s="497"/>
      <c r="I213" s="528" t="s">
        <v>1305</v>
      </c>
      <c r="J213" s="467" t="s">
        <v>863</v>
      </c>
      <c r="K213" s="497"/>
      <c r="L213" s="494" t="s">
        <v>633</v>
      </c>
      <c r="M213" s="536"/>
    </row>
    <row r="214" spans="1:13" ht="75">
      <c r="A214" s="467">
        <v>194</v>
      </c>
      <c r="B214" s="718" t="s">
        <v>1427</v>
      </c>
      <c r="C214" s="719" t="s">
        <v>1430</v>
      </c>
      <c r="D214" s="720" t="s">
        <v>1431</v>
      </c>
      <c r="E214" s="733" t="s">
        <v>1432</v>
      </c>
      <c r="F214" s="733"/>
      <c r="G214" s="494" t="s">
        <v>430</v>
      </c>
      <c r="H214" s="497"/>
      <c r="I214" s="528" t="s">
        <v>1433</v>
      </c>
      <c r="J214" s="698" t="s">
        <v>1434</v>
      </c>
      <c r="K214" s="497"/>
      <c r="L214" s="494" t="s">
        <v>633</v>
      </c>
      <c r="M214" s="536"/>
    </row>
    <row r="215" spans="1:13" ht="60">
      <c r="A215" s="467">
        <v>195</v>
      </c>
      <c r="B215" s="615" t="s">
        <v>1435</v>
      </c>
      <c r="C215" s="694" t="s">
        <v>1436</v>
      </c>
      <c r="D215" s="512" t="s">
        <v>1215</v>
      </c>
      <c r="E215" s="621" t="s">
        <v>1437</v>
      </c>
      <c r="F215" s="615" t="s">
        <v>1438</v>
      </c>
      <c r="G215" s="698" t="s">
        <v>419</v>
      </c>
      <c r="H215" s="615" t="s">
        <v>1439</v>
      </c>
      <c r="I215" s="615"/>
      <c r="J215" s="467" t="s">
        <v>863</v>
      </c>
      <c r="K215" s="536"/>
      <c r="L215" s="621" t="s">
        <v>424</v>
      </c>
      <c r="M215" s="498" t="s">
        <v>2448</v>
      </c>
    </row>
    <row r="216" spans="1:13" ht="68.25" customHeight="1">
      <c r="A216" s="467">
        <v>196</v>
      </c>
      <c r="B216" s="615" t="s">
        <v>1440</v>
      </c>
      <c r="C216" s="694" t="s">
        <v>1343</v>
      </c>
      <c r="D216" s="512" t="s">
        <v>666</v>
      </c>
      <c r="E216" s="621" t="s">
        <v>1441</v>
      </c>
      <c r="F216" s="615" t="s">
        <v>1442</v>
      </c>
      <c r="G216" s="698" t="s">
        <v>430</v>
      </c>
      <c r="H216" s="536" t="s">
        <v>1443</v>
      </c>
      <c r="I216" s="615" t="s">
        <v>1444</v>
      </c>
      <c r="J216" s="615" t="s">
        <v>1445</v>
      </c>
      <c r="K216" s="615" t="s">
        <v>926</v>
      </c>
      <c r="L216" s="621" t="s">
        <v>511</v>
      </c>
      <c r="M216" s="498" t="s">
        <v>2448</v>
      </c>
    </row>
    <row r="217" spans="1:13" ht="74.25" customHeight="1">
      <c r="A217" s="467">
        <v>197</v>
      </c>
      <c r="B217" s="615" t="s">
        <v>1255</v>
      </c>
      <c r="C217" s="694" t="s">
        <v>1446</v>
      </c>
      <c r="D217" s="512" t="s">
        <v>1290</v>
      </c>
      <c r="E217" s="621" t="s">
        <v>1320</v>
      </c>
      <c r="F217" s="615" t="s">
        <v>1447</v>
      </c>
      <c r="G217" s="698" t="s">
        <v>419</v>
      </c>
      <c r="H217" s="536" t="s">
        <v>1448</v>
      </c>
      <c r="I217" s="615" t="s">
        <v>1444</v>
      </c>
      <c r="J217" s="615" t="s">
        <v>1449</v>
      </c>
      <c r="K217" s="615" t="s">
        <v>1084</v>
      </c>
      <c r="L217" s="621" t="s">
        <v>511</v>
      </c>
      <c r="M217" s="498" t="s">
        <v>2448</v>
      </c>
    </row>
    <row r="218" spans="1:13" ht="75">
      <c r="A218" s="467">
        <v>198</v>
      </c>
      <c r="B218" s="528" t="s">
        <v>1450</v>
      </c>
      <c r="C218" s="694" t="s">
        <v>697</v>
      </c>
      <c r="D218" s="512" t="s">
        <v>581</v>
      </c>
      <c r="E218" s="621" t="s">
        <v>1451</v>
      </c>
      <c r="F218" s="467" t="s">
        <v>1452</v>
      </c>
      <c r="G218" s="621" t="s">
        <v>499</v>
      </c>
      <c r="H218" s="615" t="s">
        <v>1453</v>
      </c>
      <c r="I218" s="615" t="s">
        <v>1454</v>
      </c>
      <c r="J218" s="615" t="s">
        <v>1455</v>
      </c>
      <c r="K218" s="536"/>
      <c r="L218" s="621" t="s">
        <v>1357</v>
      </c>
      <c r="M218" s="498" t="s">
        <v>2448</v>
      </c>
    </row>
    <row r="219" spans="1:13" ht="60">
      <c r="A219" s="467">
        <v>199</v>
      </c>
      <c r="B219" s="615" t="s">
        <v>1456</v>
      </c>
      <c r="C219" s="694" t="s">
        <v>1457</v>
      </c>
      <c r="D219" s="689" t="s">
        <v>1457</v>
      </c>
      <c r="E219" s="621" t="s">
        <v>1458</v>
      </c>
      <c r="F219" s="467" t="s">
        <v>1459</v>
      </c>
      <c r="G219" s="621" t="s">
        <v>499</v>
      </c>
      <c r="H219" s="614">
        <v>70000</v>
      </c>
      <c r="I219" s="615" t="s">
        <v>1454</v>
      </c>
      <c r="J219" s="615" t="s">
        <v>1460</v>
      </c>
      <c r="K219" s="536"/>
      <c r="L219" s="621" t="s">
        <v>1461</v>
      </c>
      <c r="M219" s="498" t="s">
        <v>2448</v>
      </c>
    </row>
    <row r="220" spans="1:13" ht="60">
      <c r="A220" s="467">
        <v>200</v>
      </c>
      <c r="B220" s="615" t="s">
        <v>1462</v>
      </c>
      <c r="C220" s="694" t="s">
        <v>1457</v>
      </c>
      <c r="D220" s="689" t="s">
        <v>1457</v>
      </c>
      <c r="E220" s="621" t="s">
        <v>1463</v>
      </c>
      <c r="F220" s="467" t="s">
        <v>1464</v>
      </c>
      <c r="G220" s="621" t="s">
        <v>499</v>
      </c>
      <c r="H220" s="614">
        <v>89901</v>
      </c>
      <c r="I220" s="615" t="s">
        <v>1454</v>
      </c>
      <c r="J220" s="615" t="s">
        <v>1465</v>
      </c>
      <c r="K220" s="536"/>
      <c r="L220" s="621" t="s">
        <v>1461</v>
      </c>
      <c r="M220" s="498" t="s">
        <v>2448</v>
      </c>
    </row>
    <row r="221" spans="1:13" ht="60">
      <c r="A221" s="467">
        <v>201</v>
      </c>
      <c r="B221" s="528" t="s">
        <v>846</v>
      </c>
      <c r="C221" s="688" t="s">
        <v>1466</v>
      </c>
      <c r="D221" s="512" t="s">
        <v>416</v>
      </c>
      <c r="E221" s="497" t="s">
        <v>1467</v>
      </c>
      <c r="F221" s="467" t="s">
        <v>1468</v>
      </c>
      <c r="G221" s="698" t="s">
        <v>419</v>
      </c>
      <c r="H221" s="497" t="s">
        <v>1469</v>
      </c>
      <c r="I221" s="528" t="s">
        <v>1470</v>
      </c>
      <c r="J221" s="528" t="s">
        <v>1471</v>
      </c>
      <c r="K221" s="528" t="s">
        <v>853</v>
      </c>
      <c r="L221" s="621" t="s">
        <v>511</v>
      </c>
      <c r="M221" s="498" t="s">
        <v>2448</v>
      </c>
    </row>
    <row r="222" spans="1:13" ht="75">
      <c r="A222" s="467">
        <v>202</v>
      </c>
      <c r="B222" s="528" t="s">
        <v>1472</v>
      </c>
      <c r="C222" s="688" t="s">
        <v>942</v>
      </c>
      <c r="D222" s="512" t="s">
        <v>1209</v>
      </c>
      <c r="E222" s="497" t="s">
        <v>1473</v>
      </c>
      <c r="F222" s="467" t="s">
        <v>1474</v>
      </c>
      <c r="G222" s="698" t="s">
        <v>499</v>
      </c>
      <c r="H222" s="737">
        <v>17582</v>
      </c>
      <c r="I222" s="528" t="s">
        <v>1470</v>
      </c>
      <c r="J222" s="528" t="s">
        <v>1475</v>
      </c>
      <c r="K222" s="467" t="s">
        <v>1476</v>
      </c>
      <c r="L222" s="621" t="s">
        <v>511</v>
      </c>
      <c r="M222" s="498" t="s">
        <v>2448</v>
      </c>
    </row>
    <row r="223" spans="1:13" ht="75">
      <c r="A223" s="467">
        <v>203</v>
      </c>
      <c r="B223" s="528" t="s">
        <v>1477</v>
      </c>
      <c r="C223" s="688" t="s">
        <v>942</v>
      </c>
      <c r="D223" s="512" t="s">
        <v>1209</v>
      </c>
      <c r="E223" s="497"/>
      <c r="F223" s="698" t="s">
        <v>1478</v>
      </c>
      <c r="G223" s="698" t="s">
        <v>499</v>
      </c>
      <c r="H223" s="731">
        <v>46812.12</v>
      </c>
      <c r="I223" s="528" t="s">
        <v>1470</v>
      </c>
      <c r="J223" s="528" t="s">
        <v>1479</v>
      </c>
      <c r="K223" s="528" t="s">
        <v>1476</v>
      </c>
      <c r="L223" s="621" t="s">
        <v>511</v>
      </c>
      <c r="M223" s="498" t="s">
        <v>2448</v>
      </c>
    </row>
    <row r="224" spans="1:13" ht="60">
      <c r="A224" s="467">
        <v>204</v>
      </c>
      <c r="B224" s="528" t="s">
        <v>1480</v>
      </c>
      <c r="C224" s="688" t="s">
        <v>1466</v>
      </c>
      <c r="D224" s="512" t="s">
        <v>847</v>
      </c>
      <c r="E224" s="497" t="s">
        <v>1481</v>
      </c>
      <c r="F224" s="698" t="s">
        <v>1482</v>
      </c>
      <c r="G224" s="698" t="s">
        <v>419</v>
      </c>
      <c r="H224" s="737">
        <v>22574</v>
      </c>
      <c r="I224" s="528" t="s">
        <v>1470</v>
      </c>
      <c r="J224" s="528" t="s">
        <v>1483</v>
      </c>
      <c r="K224" s="528" t="s">
        <v>996</v>
      </c>
      <c r="L224" s="621" t="s">
        <v>511</v>
      </c>
      <c r="M224" s="498" t="s">
        <v>2448</v>
      </c>
    </row>
    <row r="225" spans="1:13" ht="75">
      <c r="A225" s="467">
        <v>205</v>
      </c>
      <c r="B225" s="528" t="s">
        <v>1480</v>
      </c>
      <c r="C225" s="688" t="s">
        <v>1466</v>
      </c>
      <c r="D225" s="512" t="s">
        <v>847</v>
      </c>
      <c r="E225" s="497" t="s">
        <v>1484</v>
      </c>
      <c r="F225" s="698" t="s">
        <v>1485</v>
      </c>
      <c r="G225" s="698" t="s">
        <v>419</v>
      </c>
      <c r="H225" s="737">
        <v>50165</v>
      </c>
      <c r="I225" s="528" t="s">
        <v>1470</v>
      </c>
      <c r="J225" s="528" t="s">
        <v>1479</v>
      </c>
      <c r="K225" s="528" t="s">
        <v>996</v>
      </c>
      <c r="L225" s="621" t="s">
        <v>511</v>
      </c>
      <c r="M225" s="498" t="s">
        <v>2448</v>
      </c>
    </row>
    <row r="226" spans="1:13" ht="75">
      <c r="A226" s="467">
        <v>206</v>
      </c>
      <c r="B226" s="528" t="s">
        <v>1486</v>
      </c>
      <c r="C226" s="688" t="s">
        <v>1487</v>
      </c>
      <c r="D226" s="512" t="s">
        <v>490</v>
      </c>
      <c r="E226" s="494" t="s">
        <v>1488</v>
      </c>
      <c r="F226" s="698" t="s">
        <v>1489</v>
      </c>
      <c r="G226" s="698" t="s">
        <v>419</v>
      </c>
      <c r="H226" s="497" t="s">
        <v>1490</v>
      </c>
      <c r="I226" s="528" t="s">
        <v>1491</v>
      </c>
      <c r="J226" s="528" t="s">
        <v>1492</v>
      </c>
      <c r="K226" s="528" t="s">
        <v>926</v>
      </c>
      <c r="L226" s="621" t="s">
        <v>511</v>
      </c>
      <c r="M226" s="498" t="s">
        <v>2448</v>
      </c>
    </row>
    <row r="227" spans="1:13" ht="75">
      <c r="A227" s="467">
        <v>207</v>
      </c>
      <c r="B227" s="528" t="s">
        <v>1191</v>
      </c>
      <c r="C227" s="688" t="s">
        <v>1436</v>
      </c>
      <c r="D227" s="512" t="s">
        <v>2514</v>
      </c>
      <c r="E227" s="494" t="s">
        <v>1493</v>
      </c>
      <c r="F227" s="698" t="s">
        <v>1494</v>
      </c>
      <c r="G227" s="698" t="s">
        <v>430</v>
      </c>
      <c r="H227" s="731">
        <v>68272.72</v>
      </c>
      <c r="I227" s="528"/>
      <c r="J227" s="528" t="s">
        <v>1492</v>
      </c>
      <c r="K227" s="528" t="s">
        <v>926</v>
      </c>
      <c r="L227" s="621" t="s">
        <v>511</v>
      </c>
      <c r="M227" s="498" t="s">
        <v>2448</v>
      </c>
    </row>
    <row r="228" spans="1:13" ht="75">
      <c r="A228" s="467">
        <v>208</v>
      </c>
      <c r="B228" s="528" t="s">
        <v>1090</v>
      </c>
      <c r="C228" s="688" t="s">
        <v>1436</v>
      </c>
      <c r="D228" s="512" t="s">
        <v>2514</v>
      </c>
      <c r="E228" s="494" t="s">
        <v>1495</v>
      </c>
      <c r="F228" s="698" t="s">
        <v>1496</v>
      </c>
      <c r="G228" s="698" t="s">
        <v>430</v>
      </c>
      <c r="H228" s="497" t="s">
        <v>1497</v>
      </c>
      <c r="I228" s="528"/>
      <c r="J228" s="528" t="s">
        <v>1492</v>
      </c>
      <c r="K228" s="528" t="s">
        <v>926</v>
      </c>
      <c r="L228" s="621" t="s">
        <v>511</v>
      </c>
      <c r="M228" s="498" t="s">
        <v>2448</v>
      </c>
    </row>
    <row r="229" spans="1:13" ht="75">
      <c r="A229" s="467">
        <v>209</v>
      </c>
      <c r="B229" s="528" t="s">
        <v>1498</v>
      </c>
      <c r="C229" s="688" t="s">
        <v>1499</v>
      </c>
      <c r="D229" s="512" t="s">
        <v>2521</v>
      </c>
      <c r="E229" s="494" t="s">
        <v>1500</v>
      </c>
      <c r="F229" s="698" t="s">
        <v>1501</v>
      </c>
      <c r="G229" s="494" t="s">
        <v>430</v>
      </c>
      <c r="H229" s="737">
        <v>35000</v>
      </c>
      <c r="I229" s="528" t="s">
        <v>1502</v>
      </c>
      <c r="J229" s="528" t="s">
        <v>1503</v>
      </c>
      <c r="K229" s="497"/>
      <c r="L229" s="621" t="s">
        <v>1357</v>
      </c>
      <c r="M229" s="498" t="s">
        <v>2448</v>
      </c>
    </row>
    <row r="230" spans="1:13" ht="75">
      <c r="A230" s="467">
        <v>210</v>
      </c>
      <c r="B230" s="528" t="s">
        <v>1498</v>
      </c>
      <c r="C230" s="688" t="s">
        <v>1499</v>
      </c>
      <c r="D230" s="512" t="s">
        <v>2521</v>
      </c>
      <c r="E230" s="494" t="s">
        <v>1504</v>
      </c>
      <c r="F230" s="698" t="s">
        <v>1505</v>
      </c>
      <c r="G230" s="494" t="s">
        <v>430</v>
      </c>
      <c r="H230" s="737">
        <v>25000</v>
      </c>
      <c r="I230" s="528" t="s">
        <v>1502</v>
      </c>
      <c r="J230" s="528" t="s">
        <v>1503</v>
      </c>
      <c r="K230" s="497"/>
      <c r="L230" s="621" t="s">
        <v>1357</v>
      </c>
      <c r="M230" s="498" t="s">
        <v>2448</v>
      </c>
    </row>
    <row r="231" spans="1:13" ht="60">
      <c r="A231" s="467">
        <v>211</v>
      </c>
      <c r="B231" s="528" t="s">
        <v>1506</v>
      </c>
      <c r="C231" s="688" t="s">
        <v>1487</v>
      </c>
      <c r="D231" s="512" t="s">
        <v>1006</v>
      </c>
      <c r="E231" s="497" t="s">
        <v>1507</v>
      </c>
      <c r="F231" s="698" t="s">
        <v>1508</v>
      </c>
      <c r="G231" s="698" t="s">
        <v>419</v>
      </c>
      <c r="H231" s="528" t="s">
        <v>1509</v>
      </c>
      <c r="I231" s="528" t="s">
        <v>1510</v>
      </c>
      <c r="J231" s="528" t="s">
        <v>1511</v>
      </c>
      <c r="K231" s="528" t="s">
        <v>1512</v>
      </c>
      <c r="L231" s="621" t="s">
        <v>511</v>
      </c>
      <c r="M231" s="498" t="s">
        <v>2448</v>
      </c>
    </row>
    <row r="232" spans="1:13" ht="60">
      <c r="A232" s="467">
        <v>212</v>
      </c>
      <c r="B232" s="528" t="s">
        <v>1085</v>
      </c>
      <c r="C232" s="688" t="s">
        <v>504</v>
      </c>
      <c r="D232" s="512" t="s">
        <v>2509</v>
      </c>
      <c r="E232" s="494" t="s">
        <v>1513</v>
      </c>
      <c r="F232" s="698" t="s">
        <v>1514</v>
      </c>
      <c r="G232" s="494" t="s">
        <v>430</v>
      </c>
      <c r="H232" s="497" t="s">
        <v>1515</v>
      </c>
      <c r="I232" s="528" t="s">
        <v>1516</v>
      </c>
      <c r="J232" s="528" t="s">
        <v>1511</v>
      </c>
      <c r="K232" s="698" t="s">
        <v>1517</v>
      </c>
      <c r="L232" s="621" t="s">
        <v>511</v>
      </c>
      <c r="M232" s="498" t="s">
        <v>2448</v>
      </c>
    </row>
    <row r="233" spans="1:13" ht="60">
      <c r="A233" s="467">
        <v>213</v>
      </c>
      <c r="B233" s="528" t="s">
        <v>1518</v>
      </c>
      <c r="C233" s="688" t="s">
        <v>504</v>
      </c>
      <c r="D233" s="512" t="s">
        <v>2509</v>
      </c>
      <c r="E233" s="494" t="s">
        <v>1519</v>
      </c>
      <c r="F233" s="698" t="s">
        <v>1520</v>
      </c>
      <c r="G233" s="494" t="s">
        <v>430</v>
      </c>
      <c r="H233" s="497" t="s">
        <v>1521</v>
      </c>
      <c r="I233" s="528" t="s">
        <v>1516</v>
      </c>
      <c r="J233" s="528" t="s">
        <v>1511</v>
      </c>
      <c r="K233" s="698" t="s">
        <v>1517</v>
      </c>
      <c r="L233" s="621" t="s">
        <v>511</v>
      </c>
      <c r="M233" s="498" t="s">
        <v>2448</v>
      </c>
    </row>
    <row r="234" spans="1:13" ht="105">
      <c r="A234" s="467">
        <v>214</v>
      </c>
      <c r="B234" s="528" t="s">
        <v>1265</v>
      </c>
      <c r="C234" s="688" t="s">
        <v>1522</v>
      </c>
      <c r="D234" s="512" t="s">
        <v>734</v>
      </c>
      <c r="E234" s="494" t="s">
        <v>1523</v>
      </c>
      <c r="F234" s="698" t="s">
        <v>1524</v>
      </c>
      <c r="G234" s="621" t="s">
        <v>499</v>
      </c>
      <c r="H234" s="497" t="s">
        <v>1525</v>
      </c>
      <c r="I234" s="528" t="s">
        <v>1516</v>
      </c>
      <c r="J234" s="528" t="s">
        <v>1526</v>
      </c>
      <c r="K234" s="528" t="s">
        <v>1084</v>
      </c>
      <c r="L234" s="621" t="s">
        <v>511</v>
      </c>
      <c r="M234" s="498" t="s">
        <v>2448</v>
      </c>
    </row>
    <row r="235" spans="1:13" ht="60">
      <c r="A235" s="467">
        <v>215</v>
      </c>
      <c r="B235" s="680" t="s">
        <v>1527</v>
      </c>
      <c r="C235" s="688" t="s">
        <v>1466</v>
      </c>
      <c r="D235" s="512" t="s">
        <v>847</v>
      </c>
      <c r="E235" s="494" t="s">
        <v>1528</v>
      </c>
      <c r="F235" s="698" t="s">
        <v>1529</v>
      </c>
      <c r="G235" s="698" t="s">
        <v>419</v>
      </c>
      <c r="H235" s="497" t="s">
        <v>1530</v>
      </c>
      <c r="I235" s="528" t="s">
        <v>1531</v>
      </c>
      <c r="J235" s="497" t="s">
        <v>1532</v>
      </c>
      <c r="K235" s="698" t="s">
        <v>1533</v>
      </c>
      <c r="L235" s="621" t="s">
        <v>511</v>
      </c>
      <c r="M235" s="498" t="s">
        <v>2448</v>
      </c>
    </row>
    <row r="236" spans="1:13" ht="60">
      <c r="A236" s="467">
        <v>216</v>
      </c>
      <c r="B236" s="680" t="s">
        <v>1527</v>
      </c>
      <c r="C236" s="688" t="s">
        <v>1466</v>
      </c>
      <c r="D236" s="512" t="s">
        <v>847</v>
      </c>
      <c r="E236" s="494" t="s">
        <v>1534</v>
      </c>
      <c r="F236" s="698" t="s">
        <v>1535</v>
      </c>
      <c r="G236" s="698" t="s">
        <v>419</v>
      </c>
      <c r="H236" s="737">
        <v>52765</v>
      </c>
      <c r="I236" s="528" t="s">
        <v>1531</v>
      </c>
      <c r="J236" s="497" t="s">
        <v>1532</v>
      </c>
      <c r="K236" s="698" t="s">
        <v>1533</v>
      </c>
      <c r="L236" s="621" t="s">
        <v>511</v>
      </c>
      <c r="M236" s="498" t="s">
        <v>2448</v>
      </c>
    </row>
    <row r="237" spans="1:13" ht="60">
      <c r="A237" s="467">
        <v>217</v>
      </c>
      <c r="B237" s="467" t="s">
        <v>1536</v>
      </c>
      <c r="C237" s="688" t="s">
        <v>1537</v>
      </c>
      <c r="D237" s="512" t="s">
        <v>666</v>
      </c>
      <c r="E237" s="494" t="s">
        <v>1538</v>
      </c>
      <c r="F237" s="698" t="s">
        <v>1539</v>
      </c>
      <c r="G237" s="621" t="s">
        <v>499</v>
      </c>
      <c r="H237" s="497" t="s">
        <v>1540</v>
      </c>
      <c r="I237" s="528" t="s">
        <v>1541</v>
      </c>
      <c r="J237" s="528" t="s">
        <v>1542</v>
      </c>
      <c r="K237" s="467" t="s">
        <v>1543</v>
      </c>
      <c r="L237" s="621" t="s">
        <v>1544</v>
      </c>
      <c r="M237" s="498" t="s">
        <v>2448</v>
      </c>
    </row>
    <row r="238" spans="1:13" ht="75">
      <c r="A238" s="467">
        <v>218</v>
      </c>
      <c r="B238" s="528" t="s">
        <v>1545</v>
      </c>
      <c r="C238" s="688" t="s">
        <v>1537</v>
      </c>
      <c r="D238" s="512" t="s">
        <v>666</v>
      </c>
      <c r="E238" s="497" t="s">
        <v>958</v>
      </c>
      <c r="F238" s="528" t="s">
        <v>1546</v>
      </c>
      <c r="G238" s="497" t="s">
        <v>499</v>
      </c>
      <c r="H238" s="497" t="s">
        <v>1547</v>
      </c>
      <c r="I238" s="528" t="s">
        <v>1548</v>
      </c>
      <c r="J238" s="528" t="s">
        <v>1542</v>
      </c>
      <c r="K238" s="467" t="s">
        <v>1543</v>
      </c>
      <c r="L238" s="497" t="s">
        <v>1544</v>
      </c>
      <c r="M238" s="498" t="s">
        <v>2448</v>
      </c>
    </row>
    <row r="239" spans="1:13" ht="60">
      <c r="A239" s="467">
        <v>219</v>
      </c>
      <c r="B239" s="528" t="s">
        <v>1549</v>
      </c>
      <c r="C239" s="688" t="s">
        <v>1537</v>
      </c>
      <c r="D239" s="512" t="s">
        <v>666</v>
      </c>
      <c r="E239" s="497" t="s">
        <v>950</v>
      </c>
      <c r="F239" s="528" t="s">
        <v>1550</v>
      </c>
      <c r="G239" s="497" t="s">
        <v>499</v>
      </c>
      <c r="H239" s="497" t="s">
        <v>1551</v>
      </c>
      <c r="I239" s="528" t="s">
        <v>1548</v>
      </c>
      <c r="J239" s="528" t="s">
        <v>1542</v>
      </c>
      <c r="K239" s="467" t="s">
        <v>1543</v>
      </c>
      <c r="L239" s="497" t="s">
        <v>1544</v>
      </c>
      <c r="M239" s="498" t="s">
        <v>2448</v>
      </c>
    </row>
    <row r="240" spans="1:13" ht="60">
      <c r="A240" s="467">
        <v>220</v>
      </c>
      <c r="B240" s="528" t="s">
        <v>1552</v>
      </c>
      <c r="C240" s="688" t="s">
        <v>666</v>
      </c>
      <c r="D240" s="512" t="s">
        <v>666</v>
      </c>
      <c r="E240" s="497" t="s">
        <v>1553</v>
      </c>
      <c r="F240" s="528" t="s">
        <v>1554</v>
      </c>
      <c r="G240" s="497" t="s">
        <v>499</v>
      </c>
      <c r="H240" s="528" t="s">
        <v>1555</v>
      </c>
      <c r="I240" s="528" t="s">
        <v>1556</v>
      </c>
      <c r="J240" s="528" t="s">
        <v>1557</v>
      </c>
      <c r="K240" s="467" t="s">
        <v>1558</v>
      </c>
      <c r="L240" s="497" t="s">
        <v>1357</v>
      </c>
      <c r="M240" s="498" t="s">
        <v>2448</v>
      </c>
    </row>
    <row r="241" spans="1:13" ht="75">
      <c r="A241" s="467">
        <v>221</v>
      </c>
      <c r="B241" s="528" t="s">
        <v>1036</v>
      </c>
      <c r="C241" s="688" t="s">
        <v>1559</v>
      </c>
      <c r="D241" s="512" t="s">
        <v>2516</v>
      </c>
      <c r="E241" s="497" t="s">
        <v>1560</v>
      </c>
      <c r="F241" s="528" t="s">
        <v>1561</v>
      </c>
      <c r="G241" s="528" t="s">
        <v>629</v>
      </c>
      <c r="H241" s="731">
        <v>87207.54</v>
      </c>
      <c r="I241" s="528" t="s">
        <v>1562</v>
      </c>
      <c r="J241" s="528" t="s">
        <v>1492</v>
      </c>
      <c r="K241" s="528" t="s">
        <v>926</v>
      </c>
      <c r="L241" s="497" t="s">
        <v>511</v>
      </c>
      <c r="M241" s="498" t="s">
        <v>2448</v>
      </c>
    </row>
    <row r="242" spans="1:13" ht="75">
      <c r="A242" s="467">
        <v>222</v>
      </c>
      <c r="B242" s="528" t="s">
        <v>1563</v>
      </c>
      <c r="C242" s="688" t="s">
        <v>1215</v>
      </c>
      <c r="D242" s="512" t="s">
        <v>1215</v>
      </c>
      <c r="E242" s="497" t="s">
        <v>1564</v>
      </c>
      <c r="F242" s="528" t="s">
        <v>1565</v>
      </c>
      <c r="G242" s="497" t="s">
        <v>499</v>
      </c>
      <c r="H242" s="497" t="s">
        <v>1566</v>
      </c>
      <c r="I242" s="497"/>
      <c r="J242" s="528" t="s">
        <v>1567</v>
      </c>
      <c r="K242" s="528" t="s">
        <v>1568</v>
      </c>
      <c r="L242" s="497" t="s">
        <v>1205</v>
      </c>
      <c r="M242" s="498" t="s">
        <v>2448</v>
      </c>
    </row>
    <row r="243" spans="1:13" ht="60">
      <c r="A243" s="467">
        <v>223</v>
      </c>
      <c r="B243" s="528" t="s">
        <v>1569</v>
      </c>
      <c r="C243" s="688" t="s">
        <v>1570</v>
      </c>
      <c r="D243" s="512" t="s">
        <v>1570</v>
      </c>
      <c r="E243" s="497"/>
      <c r="F243" s="528" t="s">
        <v>1571</v>
      </c>
      <c r="G243" s="497" t="s">
        <v>499</v>
      </c>
      <c r="H243" s="497"/>
      <c r="I243" s="528" t="s">
        <v>1572</v>
      </c>
      <c r="J243" s="528" t="s">
        <v>1573</v>
      </c>
      <c r="K243" s="497"/>
      <c r="L243" s="497" t="s">
        <v>1357</v>
      </c>
      <c r="M243" s="498" t="s">
        <v>2448</v>
      </c>
    </row>
    <row r="244" spans="1:13" ht="75">
      <c r="A244" s="467">
        <v>224</v>
      </c>
      <c r="B244" s="528" t="s">
        <v>1574</v>
      </c>
      <c r="C244" s="688" t="s">
        <v>1575</v>
      </c>
      <c r="D244" s="512" t="s">
        <v>2522</v>
      </c>
      <c r="E244" s="494" t="s">
        <v>1576</v>
      </c>
      <c r="F244" s="698" t="s">
        <v>1577</v>
      </c>
      <c r="G244" s="494" t="s">
        <v>499</v>
      </c>
      <c r="H244" s="497"/>
      <c r="I244" s="497"/>
      <c r="J244" s="528" t="s">
        <v>1578</v>
      </c>
      <c r="K244" s="497"/>
      <c r="L244" s="494" t="s">
        <v>1579</v>
      </c>
      <c r="M244" s="498" t="s">
        <v>2448</v>
      </c>
    </row>
    <row r="245" spans="1:13" ht="60">
      <c r="A245" s="467">
        <v>225</v>
      </c>
      <c r="B245" s="528" t="s">
        <v>897</v>
      </c>
      <c r="C245" s="688" t="s">
        <v>504</v>
      </c>
      <c r="D245" s="512" t="s">
        <v>553</v>
      </c>
      <c r="E245" s="497" t="s">
        <v>1580</v>
      </c>
      <c r="F245" s="698" t="s">
        <v>1581</v>
      </c>
      <c r="G245" s="494" t="s">
        <v>499</v>
      </c>
      <c r="H245" s="497" t="s">
        <v>1250</v>
      </c>
      <c r="I245" s="528" t="s">
        <v>1582</v>
      </c>
      <c r="J245" s="528" t="s">
        <v>1583</v>
      </c>
      <c r="K245" s="528" t="s">
        <v>853</v>
      </c>
      <c r="L245" s="494" t="s">
        <v>511</v>
      </c>
      <c r="M245" s="498" t="s">
        <v>2448</v>
      </c>
    </row>
    <row r="246" spans="1:13" ht="60">
      <c r="A246" s="467">
        <v>226</v>
      </c>
      <c r="B246" s="528" t="s">
        <v>1584</v>
      </c>
      <c r="C246" s="688" t="s">
        <v>504</v>
      </c>
      <c r="D246" s="512" t="s">
        <v>504</v>
      </c>
      <c r="E246" s="497"/>
      <c r="F246" s="698" t="s">
        <v>1585</v>
      </c>
      <c r="G246" s="494" t="s">
        <v>499</v>
      </c>
      <c r="H246" s="497" t="s">
        <v>1245</v>
      </c>
      <c r="I246" s="528" t="s">
        <v>1582</v>
      </c>
      <c r="J246" s="528" t="s">
        <v>1583</v>
      </c>
      <c r="K246" s="528" t="s">
        <v>853</v>
      </c>
      <c r="L246" s="494" t="s">
        <v>511</v>
      </c>
      <c r="M246" s="498" t="s">
        <v>2448</v>
      </c>
    </row>
    <row r="247" spans="1:13" ht="75">
      <c r="A247" s="467">
        <v>227</v>
      </c>
      <c r="B247" s="528" t="s">
        <v>1586</v>
      </c>
      <c r="C247" s="688" t="s">
        <v>1499</v>
      </c>
      <c r="D247" s="512" t="s">
        <v>2523</v>
      </c>
      <c r="E247" s="497" t="s">
        <v>1587</v>
      </c>
      <c r="F247" s="698" t="s">
        <v>1588</v>
      </c>
      <c r="G247" s="494" t="s">
        <v>430</v>
      </c>
      <c r="H247" s="497" t="s">
        <v>1589</v>
      </c>
      <c r="I247" s="528" t="s">
        <v>1582</v>
      </c>
      <c r="J247" s="528" t="s">
        <v>1567</v>
      </c>
      <c r="K247" s="467" t="s">
        <v>1590</v>
      </c>
      <c r="L247" s="494" t="s">
        <v>1461</v>
      </c>
      <c r="M247" s="498" t="s">
        <v>2448</v>
      </c>
    </row>
    <row r="248" spans="1:13" ht="60">
      <c r="A248" s="467">
        <v>228</v>
      </c>
      <c r="B248" s="528" t="s">
        <v>1591</v>
      </c>
      <c r="C248" s="688" t="s">
        <v>1592</v>
      </c>
      <c r="D248" s="512" t="s">
        <v>1593</v>
      </c>
      <c r="E248" s="497" t="s">
        <v>1594</v>
      </c>
      <c r="F248" s="698" t="s">
        <v>1595</v>
      </c>
      <c r="G248" s="494" t="s">
        <v>430</v>
      </c>
      <c r="H248" s="737">
        <v>50000</v>
      </c>
      <c r="I248" s="528" t="s">
        <v>1596</v>
      </c>
      <c r="J248" s="528" t="s">
        <v>1597</v>
      </c>
      <c r="K248" s="467" t="s">
        <v>1598</v>
      </c>
      <c r="L248" s="494" t="s">
        <v>1461</v>
      </c>
      <c r="M248" s="498" t="s">
        <v>2448</v>
      </c>
    </row>
    <row r="249" spans="1:13" ht="75">
      <c r="A249" s="467">
        <v>229</v>
      </c>
      <c r="B249" s="528" t="s">
        <v>1599</v>
      </c>
      <c r="C249" s="688" t="s">
        <v>1592</v>
      </c>
      <c r="D249" s="512" t="s">
        <v>1593</v>
      </c>
      <c r="E249" s="497" t="s">
        <v>1600</v>
      </c>
      <c r="F249" s="698" t="s">
        <v>1601</v>
      </c>
      <c r="G249" s="494" t="s">
        <v>430</v>
      </c>
      <c r="H249" s="737">
        <v>50000</v>
      </c>
      <c r="I249" s="528" t="s">
        <v>1596</v>
      </c>
      <c r="J249" s="528" t="s">
        <v>1597</v>
      </c>
      <c r="K249" s="467" t="s">
        <v>1598</v>
      </c>
      <c r="L249" s="494" t="s">
        <v>1461</v>
      </c>
      <c r="M249" s="498" t="s">
        <v>2448</v>
      </c>
    </row>
    <row r="250" spans="1:13" ht="75">
      <c r="A250" s="467">
        <v>230</v>
      </c>
      <c r="B250" s="528" t="s">
        <v>1602</v>
      </c>
      <c r="C250" s="688" t="s">
        <v>1603</v>
      </c>
      <c r="D250" s="512" t="s">
        <v>1603</v>
      </c>
      <c r="E250" s="494" t="s">
        <v>1604</v>
      </c>
      <c r="F250" s="698" t="s">
        <v>1605</v>
      </c>
      <c r="G250" s="494" t="s">
        <v>499</v>
      </c>
      <c r="H250" s="528" t="s">
        <v>1606</v>
      </c>
      <c r="I250" s="528" t="s">
        <v>1607</v>
      </c>
      <c r="J250" s="528" t="s">
        <v>1608</v>
      </c>
      <c r="K250" s="497"/>
      <c r="L250" s="494" t="s">
        <v>1357</v>
      </c>
      <c r="M250" s="498" t="s">
        <v>2448</v>
      </c>
    </row>
    <row r="251" spans="1:13" ht="75">
      <c r="A251" s="467">
        <v>231</v>
      </c>
      <c r="B251" s="528" t="s">
        <v>1609</v>
      </c>
      <c r="C251" s="688" t="s">
        <v>1603</v>
      </c>
      <c r="D251" s="512" t="s">
        <v>1603</v>
      </c>
      <c r="E251" s="494" t="s">
        <v>1610</v>
      </c>
      <c r="F251" s="698" t="s">
        <v>1611</v>
      </c>
      <c r="G251" s="494" t="s">
        <v>499</v>
      </c>
      <c r="H251" s="528" t="s">
        <v>1612</v>
      </c>
      <c r="I251" s="528" t="s">
        <v>1607</v>
      </c>
      <c r="J251" s="528" t="s">
        <v>1608</v>
      </c>
      <c r="K251" s="497"/>
      <c r="L251" s="494" t="s">
        <v>1357</v>
      </c>
      <c r="M251" s="498" t="s">
        <v>2448</v>
      </c>
    </row>
    <row r="252" spans="1:13" ht="75">
      <c r="A252" s="467">
        <v>232</v>
      </c>
      <c r="B252" s="528" t="s">
        <v>1613</v>
      </c>
      <c r="C252" s="688" t="s">
        <v>1366</v>
      </c>
      <c r="D252" s="512" t="s">
        <v>1290</v>
      </c>
      <c r="E252" s="494" t="s">
        <v>1614</v>
      </c>
      <c r="F252" s="698" t="s">
        <v>1615</v>
      </c>
      <c r="G252" s="494" t="s">
        <v>430</v>
      </c>
      <c r="H252" s="731">
        <v>99303.09</v>
      </c>
      <c r="I252" s="528" t="s">
        <v>1616</v>
      </c>
      <c r="J252" s="528" t="s">
        <v>1617</v>
      </c>
      <c r="K252" s="467" t="s">
        <v>1618</v>
      </c>
      <c r="L252" s="494" t="s">
        <v>511</v>
      </c>
      <c r="M252" s="498" t="s">
        <v>2448</v>
      </c>
    </row>
    <row r="253" spans="1:13" ht="90">
      <c r="A253" s="467">
        <v>233</v>
      </c>
      <c r="B253" s="528" t="s">
        <v>1619</v>
      </c>
      <c r="C253" s="688" t="s">
        <v>529</v>
      </c>
      <c r="D253" s="512" t="s">
        <v>1428</v>
      </c>
      <c r="E253" s="494" t="s">
        <v>1620</v>
      </c>
      <c r="F253" s="698" t="s">
        <v>1621</v>
      </c>
      <c r="G253" s="494" t="s">
        <v>430</v>
      </c>
      <c r="H253" s="528" t="s">
        <v>1622</v>
      </c>
      <c r="I253" s="528" t="s">
        <v>1623</v>
      </c>
      <c r="J253" s="528" t="s">
        <v>1624</v>
      </c>
      <c r="K253" s="467" t="s">
        <v>1625</v>
      </c>
      <c r="L253" s="494" t="s">
        <v>1461</v>
      </c>
      <c r="M253" s="498" t="s">
        <v>2448</v>
      </c>
    </row>
    <row r="254" spans="1:13" ht="90">
      <c r="A254" s="467">
        <v>234</v>
      </c>
      <c r="B254" s="528" t="s">
        <v>1626</v>
      </c>
      <c r="C254" s="688" t="s">
        <v>529</v>
      </c>
      <c r="D254" s="512" t="s">
        <v>1428</v>
      </c>
      <c r="E254" s="494" t="s">
        <v>1627</v>
      </c>
      <c r="F254" s="698" t="s">
        <v>1628</v>
      </c>
      <c r="G254" s="494" t="s">
        <v>430</v>
      </c>
      <c r="H254" s="737">
        <v>74261</v>
      </c>
      <c r="I254" s="528" t="s">
        <v>1623</v>
      </c>
      <c r="J254" s="528" t="s">
        <v>1624</v>
      </c>
      <c r="K254" s="467" t="s">
        <v>1625</v>
      </c>
      <c r="L254" s="494" t="s">
        <v>1461</v>
      </c>
      <c r="M254" s="498" t="s">
        <v>2448</v>
      </c>
    </row>
    <row r="255" spans="1:13" ht="75">
      <c r="A255" s="467">
        <v>235</v>
      </c>
      <c r="B255" s="528" t="s">
        <v>1629</v>
      </c>
      <c r="C255" s="688" t="s">
        <v>871</v>
      </c>
      <c r="D255" s="512" t="s">
        <v>1290</v>
      </c>
      <c r="E255" s="494" t="s">
        <v>1630</v>
      </c>
      <c r="F255" s="698" t="s">
        <v>1631</v>
      </c>
      <c r="G255" s="494" t="s">
        <v>430</v>
      </c>
      <c r="H255" s="497" t="s">
        <v>1632</v>
      </c>
      <c r="I255" s="528" t="s">
        <v>1633</v>
      </c>
      <c r="J255" s="528" t="s">
        <v>1617</v>
      </c>
      <c r="K255" s="692" t="s">
        <v>1634</v>
      </c>
      <c r="L255" s="494" t="s">
        <v>511</v>
      </c>
      <c r="M255" s="498" t="s">
        <v>2448</v>
      </c>
    </row>
    <row r="256" spans="1:13" ht="75">
      <c r="A256" s="467">
        <v>236</v>
      </c>
      <c r="B256" s="528" t="s">
        <v>1635</v>
      </c>
      <c r="C256" s="688" t="s">
        <v>871</v>
      </c>
      <c r="D256" s="512" t="s">
        <v>1290</v>
      </c>
      <c r="E256" s="494" t="s">
        <v>1636</v>
      </c>
      <c r="F256" s="698" t="s">
        <v>1637</v>
      </c>
      <c r="G256" s="494" t="s">
        <v>430</v>
      </c>
      <c r="H256" s="497" t="s">
        <v>1638</v>
      </c>
      <c r="I256" s="528" t="s">
        <v>1633</v>
      </c>
      <c r="J256" s="528" t="s">
        <v>1617</v>
      </c>
      <c r="K256" s="692" t="s">
        <v>1634</v>
      </c>
      <c r="L256" s="494" t="s">
        <v>511</v>
      </c>
      <c r="M256" s="498" t="s">
        <v>2448</v>
      </c>
    </row>
    <row r="257" spans="1:13" ht="75">
      <c r="A257" s="467">
        <v>237</v>
      </c>
      <c r="B257" s="528" t="s">
        <v>1639</v>
      </c>
      <c r="C257" s="688" t="s">
        <v>871</v>
      </c>
      <c r="D257" s="512" t="s">
        <v>1290</v>
      </c>
      <c r="E257" s="494" t="s">
        <v>1640</v>
      </c>
      <c r="F257" s="698" t="s">
        <v>1641</v>
      </c>
      <c r="G257" s="494" t="s">
        <v>430</v>
      </c>
      <c r="H257" s="497" t="s">
        <v>1642</v>
      </c>
      <c r="I257" s="528" t="s">
        <v>1633</v>
      </c>
      <c r="J257" s="528" t="s">
        <v>1617</v>
      </c>
      <c r="K257" s="692" t="s">
        <v>1634</v>
      </c>
      <c r="L257" s="494" t="s">
        <v>511</v>
      </c>
      <c r="M257" s="498" t="s">
        <v>2448</v>
      </c>
    </row>
    <row r="258" spans="1:13" ht="90">
      <c r="A258" s="467">
        <v>238</v>
      </c>
      <c r="B258" s="528" t="s">
        <v>1643</v>
      </c>
      <c r="C258" s="688" t="s">
        <v>529</v>
      </c>
      <c r="D258" s="512" t="s">
        <v>1428</v>
      </c>
      <c r="E258" s="494" t="s">
        <v>1644</v>
      </c>
      <c r="F258" s="698" t="s">
        <v>1645</v>
      </c>
      <c r="G258" s="494" t="s">
        <v>430</v>
      </c>
      <c r="H258" s="497" t="s">
        <v>1646</v>
      </c>
      <c r="I258" s="528" t="s">
        <v>1647</v>
      </c>
      <c r="J258" s="528" t="s">
        <v>1624</v>
      </c>
      <c r="K258" s="467" t="s">
        <v>1625</v>
      </c>
      <c r="L258" s="494" t="s">
        <v>1461</v>
      </c>
      <c r="M258" s="498" t="s">
        <v>2448</v>
      </c>
    </row>
    <row r="259" spans="1:13" ht="90">
      <c r="A259" s="467">
        <v>239</v>
      </c>
      <c r="B259" s="528" t="s">
        <v>1648</v>
      </c>
      <c r="C259" s="688" t="s">
        <v>529</v>
      </c>
      <c r="D259" s="512" t="s">
        <v>1428</v>
      </c>
      <c r="E259" s="494" t="s">
        <v>1649</v>
      </c>
      <c r="F259" s="698" t="s">
        <v>1650</v>
      </c>
      <c r="G259" s="494" t="s">
        <v>430</v>
      </c>
      <c r="H259" s="528" t="s">
        <v>1651</v>
      </c>
      <c r="I259" s="528" t="s">
        <v>1647</v>
      </c>
      <c r="J259" s="528" t="s">
        <v>1624</v>
      </c>
      <c r="K259" s="467" t="s">
        <v>1625</v>
      </c>
      <c r="L259" s="494" t="s">
        <v>1461</v>
      </c>
      <c r="M259" s="498" t="s">
        <v>2448</v>
      </c>
    </row>
    <row r="260" spans="1:13" ht="60">
      <c r="A260" s="467">
        <v>240</v>
      </c>
      <c r="B260" s="528" t="s">
        <v>2524</v>
      </c>
      <c r="C260" s="688" t="s">
        <v>2525</v>
      </c>
      <c r="D260" s="512" t="s">
        <v>2525</v>
      </c>
      <c r="E260" s="497"/>
      <c r="F260" s="528" t="s">
        <v>2526</v>
      </c>
      <c r="G260" s="497" t="s">
        <v>499</v>
      </c>
      <c r="H260" s="611" t="s">
        <v>2527</v>
      </c>
      <c r="I260" s="497"/>
      <c r="J260" s="528" t="s">
        <v>1567</v>
      </c>
      <c r="K260" s="528" t="s">
        <v>853</v>
      </c>
      <c r="L260" s="497" t="s">
        <v>511</v>
      </c>
      <c r="M260" s="498" t="s">
        <v>2448</v>
      </c>
    </row>
    <row r="261" spans="1:13" ht="45">
      <c r="A261" s="467">
        <v>241</v>
      </c>
      <c r="B261" s="528" t="s">
        <v>2528</v>
      </c>
      <c r="C261" s="688" t="s">
        <v>1222</v>
      </c>
      <c r="D261" s="512" t="s">
        <v>1222</v>
      </c>
      <c r="E261" s="497" t="s">
        <v>2529</v>
      </c>
      <c r="F261" s="528" t="s">
        <v>2530</v>
      </c>
      <c r="G261" s="497" t="s">
        <v>499</v>
      </c>
      <c r="H261" s="528" t="s">
        <v>2531</v>
      </c>
      <c r="I261" s="497"/>
      <c r="J261" s="528" t="s">
        <v>1567</v>
      </c>
      <c r="K261" s="528" t="s">
        <v>1342</v>
      </c>
      <c r="L261" s="497" t="s">
        <v>511</v>
      </c>
      <c r="M261" s="498" t="s">
        <v>2448</v>
      </c>
    </row>
    <row r="262" spans="1:13" ht="75">
      <c r="A262" s="467">
        <v>242</v>
      </c>
      <c r="B262" s="528" t="s">
        <v>1197</v>
      </c>
      <c r="C262" s="688" t="s">
        <v>771</v>
      </c>
      <c r="D262" s="512" t="s">
        <v>2532</v>
      </c>
      <c r="E262" s="494" t="s">
        <v>2533</v>
      </c>
      <c r="F262" s="698" t="s">
        <v>2534</v>
      </c>
      <c r="G262" s="494" t="s">
        <v>430</v>
      </c>
      <c r="H262" s="731">
        <v>92227.73</v>
      </c>
      <c r="I262" s="528"/>
      <c r="J262" s="528" t="s">
        <v>2535</v>
      </c>
      <c r="K262" s="528" t="s">
        <v>2536</v>
      </c>
      <c r="L262" s="494" t="s">
        <v>511</v>
      </c>
      <c r="M262" s="498" t="s">
        <v>2448</v>
      </c>
    </row>
    <row r="263" spans="1:13" ht="90">
      <c r="A263" s="467">
        <v>243</v>
      </c>
      <c r="B263" s="528" t="s">
        <v>1079</v>
      </c>
      <c r="C263" s="688" t="s">
        <v>1222</v>
      </c>
      <c r="D263" s="512" t="s">
        <v>1222</v>
      </c>
      <c r="E263" s="494" t="s">
        <v>2537</v>
      </c>
      <c r="F263" s="698" t="s">
        <v>2538</v>
      </c>
      <c r="G263" s="494" t="s">
        <v>499</v>
      </c>
      <c r="H263" s="497" t="s">
        <v>1274</v>
      </c>
      <c r="I263" s="497"/>
      <c r="J263" s="528" t="s">
        <v>2539</v>
      </c>
      <c r="K263" s="528" t="s">
        <v>1084</v>
      </c>
      <c r="L263" s="494" t="s">
        <v>511</v>
      </c>
      <c r="M263" s="498" t="s">
        <v>2448</v>
      </c>
    </row>
    <row r="264" spans="1:13" ht="30">
      <c r="A264" s="467">
        <v>1</v>
      </c>
      <c r="B264" s="467" t="s">
        <v>305</v>
      </c>
      <c r="C264" s="467"/>
      <c r="D264" s="467"/>
      <c r="E264" s="467" t="s">
        <v>304</v>
      </c>
      <c r="F264" s="467"/>
      <c r="G264" s="467"/>
      <c r="H264" s="467"/>
      <c r="I264" s="467"/>
      <c r="J264" s="467"/>
      <c r="K264" s="467"/>
      <c r="L264" s="467"/>
      <c r="M264" s="467"/>
    </row>
    <row r="265" spans="1:13" ht="45">
      <c r="A265" s="467">
        <v>3</v>
      </c>
      <c r="B265" s="467" t="s">
        <v>310</v>
      </c>
      <c r="C265" s="467"/>
      <c r="D265" s="467"/>
      <c r="E265" s="467" t="s">
        <v>307</v>
      </c>
      <c r="F265" s="467"/>
      <c r="G265" s="467"/>
      <c r="H265" s="467"/>
      <c r="I265" s="467"/>
      <c r="J265" s="467"/>
      <c r="K265" s="467"/>
      <c r="L265" s="467"/>
      <c r="M265" s="467"/>
    </row>
    <row r="266" spans="1:13">
      <c r="A266" s="738"/>
      <c r="B266" s="739"/>
      <c r="C266" s="740"/>
      <c r="D266" s="741"/>
      <c r="E266" s="742"/>
      <c r="F266" s="743"/>
      <c r="G266" s="742"/>
      <c r="H266" s="744"/>
      <c r="I266" s="744"/>
      <c r="J266" s="739"/>
      <c r="K266" s="739"/>
      <c r="L266" s="742"/>
      <c r="M266" s="745"/>
    </row>
    <row r="267" spans="1:13">
      <c r="A267" s="738"/>
      <c r="B267" s="739"/>
      <c r="C267" s="740"/>
      <c r="D267" s="741"/>
      <c r="E267" s="742"/>
      <c r="F267" s="743"/>
      <c r="G267" s="742"/>
      <c r="H267" s="744"/>
      <c r="I267" s="744"/>
      <c r="J267" s="739"/>
      <c r="K267" s="739"/>
      <c r="L267" s="742"/>
      <c r="M267" s="745"/>
    </row>
    <row r="268" spans="1:13" ht="15.75">
      <c r="A268" s="1420" t="s">
        <v>2542</v>
      </c>
      <c r="B268" s="1420"/>
      <c r="C268" s="1420"/>
      <c r="D268" s="1420"/>
      <c r="E268" s="1420"/>
      <c r="F268" s="1420"/>
      <c r="G268" s="1420"/>
      <c r="H268" s="1420"/>
      <c r="I268" s="1420"/>
      <c r="J268" s="1420"/>
      <c r="K268" s="1420"/>
      <c r="L268" s="1420"/>
      <c r="M268" s="1420"/>
    </row>
    <row r="269" spans="1:13" ht="15.75">
      <c r="A269" s="1420" t="s">
        <v>190</v>
      </c>
      <c r="B269" s="1420"/>
      <c r="C269" s="1420"/>
      <c r="D269" s="1420"/>
      <c r="E269" s="1420"/>
      <c r="F269" s="1420"/>
      <c r="G269" s="1420"/>
      <c r="H269" s="1420"/>
      <c r="I269" s="1420"/>
      <c r="J269" s="1420"/>
      <c r="K269" s="1420"/>
      <c r="L269" s="1420"/>
      <c r="M269" s="1420"/>
    </row>
    <row r="271" spans="1:13" ht="45">
      <c r="A271" s="535" t="s">
        <v>311</v>
      </c>
      <c r="B271" s="535" t="s">
        <v>312</v>
      </c>
      <c r="C271" s="535" t="s">
        <v>313</v>
      </c>
      <c r="D271" s="535" t="s">
        <v>314</v>
      </c>
      <c r="E271" s="1635" t="s">
        <v>92</v>
      </c>
      <c r="F271" s="1635"/>
      <c r="G271" s="1635"/>
      <c r="H271" s="1635"/>
      <c r="I271" s="746"/>
      <c r="J271" s="746"/>
      <c r="K271" s="746"/>
      <c r="L271" s="746"/>
      <c r="M271" s="746" t="s">
        <v>52</v>
      </c>
    </row>
    <row r="272" spans="1:13">
      <c r="A272" s="747">
        <v>1</v>
      </c>
      <c r="B272" s="609" t="s">
        <v>300</v>
      </c>
      <c r="C272" s="608" t="s">
        <v>315</v>
      </c>
      <c r="D272" s="608" t="s">
        <v>316</v>
      </c>
      <c r="E272" s="1629"/>
      <c r="F272" s="1630"/>
      <c r="G272" s="1630"/>
      <c r="H272" s="1631"/>
      <c r="I272" s="748"/>
      <c r="J272" s="748"/>
      <c r="K272" s="748"/>
      <c r="L272" s="748"/>
      <c r="M272" s="1632"/>
    </row>
    <row r="273" spans="1:13">
      <c r="A273" s="537"/>
      <c r="B273" s="609" t="s">
        <v>317</v>
      </c>
      <c r="C273" s="608" t="s">
        <v>318</v>
      </c>
      <c r="D273" s="608" t="s">
        <v>319</v>
      </c>
      <c r="E273" s="1629"/>
      <c r="F273" s="1630"/>
      <c r="G273" s="1630"/>
      <c r="H273" s="1631"/>
      <c r="I273" s="149"/>
      <c r="J273" s="149"/>
      <c r="K273" s="149"/>
      <c r="L273" s="149"/>
      <c r="M273" s="1633"/>
    </row>
    <row r="274" spans="1:13">
      <c r="A274" s="537"/>
      <c r="B274" s="609"/>
      <c r="C274" s="608" t="s">
        <v>320</v>
      </c>
      <c r="D274" s="361"/>
      <c r="E274" s="1629"/>
      <c r="F274" s="1630"/>
      <c r="G274" s="1630"/>
      <c r="H274" s="1631"/>
      <c r="I274" s="334"/>
      <c r="J274" s="334"/>
      <c r="K274" s="334"/>
      <c r="L274" s="334"/>
      <c r="M274" s="1634"/>
    </row>
    <row r="275" spans="1:13">
      <c r="A275" s="747">
        <v>2</v>
      </c>
      <c r="B275" s="609" t="s">
        <v>300</v>
      </c>
      <c r="C275" s="608" t="s">
        <v>321</v>
      </c>
      <c r="D275" s="608" t="s">
        <v>316</v>
      </c>
      <c r="E275" s="1629"/>
      <c r="F275" s="1630"/>
      <c r="G275" s="1630"/>
      <c r="H275" s="1631"/>
      <c r="I275" s="748"/>
      <c r="J275" s="748"/>
      <c r="K275" s="748"/>
      <c r="L275" s="748"/>
      <c r="M275" s="1632"/>
    </row>
    <row r="276" spans="1:13">
      <c r="A276" s="537"/>
      <c r="B276" s="609" t="s">
        <v>317</v>
      </c>
      <c r="C276" s="608" t="s">
        <v>322</v>
      </c>
      <c r="D276" s="608" t="s">
        <v>323</v>
      </c>
      <c r="E276" s="1629"/>
      <c r="F276" s="1630"/>
      <c r="G276" s="1630"/>
      <c r="H276" s="1631"/>
      <c r="I276" s="149"/>
      <c r="J276" s="149"/>
      <c r="K276" s="149"/>
      <c r="L276" s="149"/>
      <c r="M276" s="1633"/>
    </row>
    <row r="277" spans="1:13">
      <c r="A277" s="537"/>
      <c r="B277" s="609"/>
      <c r="C277" s="608" t="s">
        <v>320</v>
      </c>
      <c r="D277" s="361"/>
      <c r="E277" s="1629"/>
      <c r="F277" s="1630"/>
      <c r="G277" s="1630"/>
      <c r="H277" s="1631"/>
      <c r="I277" s="334"/>
      <c r="J277" s="334"/>
      <c r="K277" s="334"/>
      <c r="L277" s="334"/>
      <c r="M277" s="1634"/>
    </row>
    <row r="278" spans="1:13">
      <c r="A278" s="747">
        <v>3</v>
      </c>
      <c r="B278" s="609" t="s">
        <v>300</v>
      </c>
      <c r="C278" s="608" t="s">
        <v>324</v>
      </c>
      <c r="D278" s="608" t="s">
        <v>316</v>
      </c>
      <c r="E278" s="1629"/>
      <c r="F278" s="1630"/>
      <c r="G278" s="1630"/>
      <c r="H278" s="1631"/>
      <c r="I278" s="748"/>
      <c r="J278" s="748"/>
      <c r="K278" s="748"/>
      <c r="L278" s="748"/>
      <c r="M278" s="1632"/>
    </row>
    <row r="279" spans="1:13">
      <c r="A279" s="537"/>
      <c r="B279" s="609" t="s">
        <v>317</v>
      </c>
      <c r="C279" s="608" t="s">
        <v>325</v>
      </c>
      <c r="D279" s="608" t="s">
        <v>326</v>
      </c>
      <c r="E279" s="1629"/>
      <c r="F279" s="1630"/>
      <c r="G279" s="1630"/>
      <c r="H279" s="1631"/>
      <c r="I279" s="149"/>
      <c r="J279" s="149"/>
      <c r="K279" s="149"/>
      <c r="L279" s="149"/>
      <c r="M279" s="1633"/>
    </row>
    <row r="280" spans="1:13">
      <c r="A280" s="537"/>
      <c r="B280" s="609"/>
      <c r="C280" s="608" t="s">
        <v>320</v>
      </c>
      <c r="D280" s="361"/>
      <c r="E280" s="1629"/>
      <c r="F280" s="1630"/>
      <c r="G280" s="1630"/>
      <c r="H280" s="1631"/>
      <c r="I280" s="334"/>
      <c r="J280" s="334"/>
      <c r="K280" s="334"/>
      <c r="L280" s="334"/>
      <c r="M280" s="1634"/>
    </row>
    <row r="281" spans="1:13">
      <c r="A281" s="747">
        <v>4</v>
      </c>
      <c r="B281" s="609" t="s">
        <v>300</v>
      </c>
      <c r="C281" s="608" t="s">
        <v>327</v>
      </c>
      <c r="D281" s="608" t="s">
        <v>316</v>
      </c>
      <c r="E281" s="1629"/>
      <c r="F281" s="1630"/>
      <c r="G281" s="1630"/>
      <c r="H281" s="1631"/>
      <c r="I281" s="748"/>
      <c r="J281" s="748"/>
      <c r="K281" s="748"/>
      <c r="L281" s="748"/>
      <c r="M281" s="1632"/>
    </row>
    <row r="282" spans="1:13">
      <c r="A282" s="537"/>
      <c r="B282" s="609" t="s">
        <v>317</v>
      </c>
      <c r="C282" s="608" t="s">
        <v>328</v>
      </c>
      <c r="D282" s="608" t="s">
        <v>329</v>
      </c>
      <c r="E282" s="1629"/>
      <c r="F282" s="1630"/>
      <c r="G282" s="1630"/>
      <c r="H282" s="1631"/>
      <c r="I282" s="149"/>
      <c r="J282" s="149"/>
      <c r="K282" s="149"/>
      <c r="L282" s="149"/>
      <c r="M282" s="1633"/>
    </row>
    <row r="283" spans="1:13">
      <c r="A283" s="537"/>
      <c r="B283" s="609"/>
      <c r="C283" s="608" t="s">
        <v>320</v>
      </c>
      <c r="D283" s="361"/>
      <c r="E283" s="1629"/>
      <c r="F283" s="1630"/>
      <c r="G283" s="1630"/>
      <c r="H283" s="1631"/>
      <c r="I283" s="334"/>
      <c r="J283" s="334"/>
      <c r="K283" s="334"/>
      <c r="L283" s="334"/>
      <c r="M283" s="1634"/>
    </row>
    <row r="284" spans="1:13">
      <c r="A284" s="747">
        <v>5</v>
      </c>
      <c r="B284" s="609" t="s">
        <v>300</v>
      </c>
      <c r="C284" s="608" t="s">
        <v>330</v>
      </c>
      <c r="D284" s="608" t="s">
        <v>316</v>
      </c>
      <c r="E284" s="1629"/>
      <c r="F284" s="1630"/>
      <c r="G284" s="1630"/>
      <c r="H284" s="1631"/>
      <c r="I284" s="748"/>
      <c r="J284" s="748"/>
      <c r="K284" s="748"/>
      <c r="L284" s="748"/>
      <c r="M284" s="1632"/>
    </row>
    <row r="285" spans="1:13">
      <c r="A285" s="537"/>
      <c r="B285" s="609" t="s">
        <v>317</v>
      </c>
      <c r="C285" s="608" t="s">
        <v>331</v>
      </c>
      <c r="D285" s="608" t="s">
        <v>332</v>
      </c>
      <c r="E285" s="1629"/>
      <c r="F285" s="1630"/>
      <c r="G285" s="1630"/>
      <c r="H285" s="1631"/>
      <c r="I285" s="149"/>
      <c r="J285" s="149"/>
      <c r="K285" s="149"/>
      <c r="L285" s="149"/>
      <c r="M285" s="1633"/>
    </row>
    <row r="286" spans="1:13">
      <c r="A286" s="537"/>
      <c r="B286" s="609"/>
      <c r="C286" s="608" t="s">
        <v>320</v>
      </c>
      <c r="D286" s="361"/>
      <c r="E286" s="1629"/>
      <c r="F286" s="1630"/>
      <c r="G286" s="1630"/>
      <c r="H286" s="1631"/>
      <c r="I286" s="334"/>
      <c r="J286" s="334"/>
      <c r="K286" s="334"/>
      <c r="L286" s="334"/>
      <c r="M286" s="1634"/>
    </row>
    <row r="287" spans="1:13">
      <c r="A287" s="747">
        <v>6</v>
      </c>
      <c r="B287" s="609" t="s">
        <v>300</v>
      </c>
      <c r="C287" s="608" t="s">
        <v>333</v>
      </c>
      <c r="D287" s="608" t="s">
        <v>316</v>
      </c>
      <c r="E287" s="1629"/>
      <c r="F287" s="1630"/>
      <c r="G287" s="1630"/>
      <c r="H287" s="1631"/>
      <c r="I287" s="748"/>
      <c r="J287" s="748"/>
      <c r="K287" s="748"/>
      <c r="L287" s="748"/>
      <c r="M287" s="1632"/>
    </row>
    <row r="288" spans="1:13">
      <c r="A288" s="537"/>
      <c r="B288" s="609" t="s">
        <v>317</v>
      </c>
      <c r="C288" s="608" t="s">
        <v>334</v>
      </c>
      <c r="D288" s="608" t="s">
        <v>335</v>
      </c>
      <c r="E288" s="1629"/>
      <c r="F288" s="1630"/>
      <c r="G288" s="1630"/>
      <c r="H288" s="1631"/>
      <c r="I288" s="149"/>
      <c r="J288" s="149"/>
      <c r="K288" s="149"/>
      <c r="L288" s="149"/>
      <c r="M288" s="1633"/>
    </row>
    <row r="289" spans="1:13">
      <c r="A289" s="537"/>
      <c r="B289" s="609"/>
      <c r="C289" s="608" t="s">
        <v>320</v>
      </c>
      <c r="D289" s="361"/>
      <c r="E289" s="1629"/>
      <c r="F289" s="1630"/>
      <c r="G289" s="1630"/>
      <c r="H289" s="1631"/>
      <c r="I289" s="334"/>
      <c r="J289" s="334"/>
      <c r="K289" s="334"/>
      <c r="L289" s="334"/>
      <c r="M289" s="1634"/>
    </row>
    <row r="290" spans="1:13">
      <c r="A290" s="747">
        <v>7</v>
      </c>
      <c r="B290" s="609" t="s">
        <v>300</v>
      </c>
      <c r="C290" s="608" t="s">
        <v>336</v>
      </c>
      <c r="D290" s="608" t="s">
        <v>316</v>
      </c>
      <c r="E290" s="1629"/>
      <c r="F290" s="1630"/>
      <c r="G290" s="1630"/>
      <c r="H290" s="1631"/>
      <c r="I290" s="748"/>
      <c r="J290" s="748"/>
      <c r="K290" s="748"/>
      <c r="L290" s="748"/>
      <c r="M290" s="1632"/>
    </row>
    <row r="291" spans="1:13">
      <c r="A291" s="537"/>
      <c r="B291" s="609" t="s">
        <v>317</v>
      </c>
      <c r="C291" s="608" t="s">
        <v>337</v>
      </c>
      <c r="D291" s="608" t="s">
        <v>338</v>
      </c>
      <c r="E291" s="1629"/>
      <c r="F291" s="1630"/>
      <c r="G291" s="1630"/>
      <c r="H291" s="1631"/>
      <c r="I291" s="149"/>
      <c r="J291" s="149"/>
      <c r="K291" s="149"/>
      <c r="L291" s="149"/>
      <c r="M291" s="1633"/>
    </row>
    <row r="292" spans="1:13">
      <c r="A292" s="537"/>
      <c r="B292" s="609"/>
      <c r="C292" s="608" t="s">
        <v>320</v>
      </c>
      <c r="D292" s="361"/>
      <c r="E292" s="1629"/>
      <c r="F292" s="1630"/>
      <c r="G292" s="1630"/>
      <c r="H292" s="1631"/>
      <c r="I292" s="334"/>
      <c r="J292" s="334"/>
      <c r="K292" s="334"/>
      <c r="L292" s="334"/>
      <c r="M292" s="1634"/>
    </row>
    <row r="293" spans="1:13">
      <c r="A293" s="747">
        <v>8</v>
      </c>
      <c r="B293" s="609" t="s">
        <v>300</v>
      </c>
      <c r="C293" s="608" t="s">
        <v>339</v>
      </c>
      <c r="D293" s="608" t="s">
        <v>316</v>
      </c>
      <c r="E293" s="1629"/>
      <c r="F293" s="1630"/>
      <c r="G293" s="1630"/>
      <c r="H293" s="1631"/>
      <c r="I293" s="748"/>
      <c r="J293" s="748"/>
      <c r="K293" s="748"/>
      <c r="L293" s="748"/>
      <c r="M293" s="1632"/>
    </row>
    <row r="294" spans="1:13">
      <c r="A294" s="537"/>
      <c r="B294" s="609" t="s">
        <v>317</v>
      </c>
      <c r="C294" s="608" t="s">
        <v>325</v>
      </c>
      <c r="D294" s="608" t="s">
        <v>340</v>
      </c>
      <c r="E294" s="1629"/>
      <c r="F294" s="1630"/>
      <c r="G294" s="1630"/>
      <c r="H294" s="1631"/>
      <c r="I294" s="149"/>
      <c r="J294" s="149"/>
      <c r="K294" s="149"/>
      <c r="L294" s="149"/>
      <c r="M294" s="1633"/>
    </row>
    <row r="295" spans="1:13">
      <c r="A295" s="537"/>
      <c r="B295" s="609"/>
      <c r="C295" s="608" t="s">
        <v>320</v>
      </c>
      <c r="D295" s="361"/>
      <c r="E295" s="1629"/>
      <c r="F295" s="1630"/>
      <c r="G295" s="1630"/>
      <c r="H295" s="1631"/>
      <c r="I295" s="334"/>
      <c r="J295" s="334"/>
      <c r="K295" s="334"/>
      <c r="L295" s="334"/>
      <c r="M295" s="1634"/>
    </row>
    <row r="296" spans="1:13">
      <c r="A296" s="747">
        <v>9</v>
      </c>
      <c r="B296" s="609" t="s">
        <v>300</v>
      </c>
      <c r="C296" s="608" t="s">
        <v>341</v>
      </c>
      <c r="D296" s="608" t="s">
        <v>316</v>
      </c>
      <c r="E296" s="1629"/>
      <c r="F296" s="1630"/>
      <c r="G296" s="1630"/>
      <c r="H296" s="1631"/>
      <c r="I296" s="748"/>
      <c r="J296" s="748"/>
      <c r="K296" s="748"/>
      <c r="L296" s="748"/>
      <c r="M296" s="1632"/>
    </row>
    <row r="297" spans="1:13">
      <c r="A297" s="537"/>
      <c r="B297" s="609" t="s">
        <v>317</v>
      </c>
      <c r="C297" s="608" t="s">
        <v>342</v>
      </c>
      <c r="D297" s="608" t="s">
        <v>343</v>
      </c>
      <c r="E297" s="1629"/>
      <c r="F297" s="1630"/>
      <c r="G297" s="1630"/>
      <c r="H297" s="1631"/>
      <c r="I297" s="149"/>
      <c r="J297" s="149"/>
      <c r="K297" s="149"/>
      <c r="L297" s="149"/>
      <c r="M297" s="1633"/>
    </row>
    <row r="298" spans="1:13">
      <c r="A298" s="537"/>
      <c r="B298" s="609"/>
      <c r="C298" s="608" t="s">
        <v>320</v>
      </c>
      <c r="D298" s="361"/>
      <c r="E298" s="1629"/>
      <c r="F298" s="1630"/>
      <c r="G298" s="1630"/>
      <c r="H298" s="1631"/>
      <c r="I298" s="334"/>
      <c r="J298" s="334"/>
      <c r="K298" s="334"/>
      <c r="L298" s="334"/>
      <c r="M298" s="1634"/>
    </row>
    <row r="299" spans="1:13">
      <c r="A299" s="747">
        <v>10</v>
      </c>
      <c r="B299" s="609" t="s">
        <v>300</v>
      </c>
      <c r="C299" s="608" t="s">
        <v>344</v>
      </c>
      <c r="D299" s="608" t="s">
        <v>316</v>
      </c>
      <c r="E299" s="1629"/>
      <c r="F299" s="1630"/>
      <c r="G299" s="1630"/>
      <c r="H299" s="1631"/>
      <c r="I299" s="748"/>
      <c r="J299" s="748"/>
      <c r="K299" s="748"/>
      <c r="L299" s="748"/>
      <c r="M299" s="1632"/>
    </row>
    <row r="300" spans="1:13">
      <c r="A300" s="537"/>
      <c r="B300" s="609" t="s">
        <v>317</v>
      </c>
      <c r="C300" s="608" t="s">
        <v>318</v>
      </c>
      <c r="D300" s="608" t="s">
        <v>345</v>
      </c>
      <c r="E300" s="1629"/>
      <c r="F300" s="1630"/>
      <c r="G300" s="1630"/>
      <c r="H300" s="1631"/>
      <c r="I300" s="149"/>
      <c r="J300" s="149"/>
      <c r="K300" s="149"/>
      <c r="L300" s="149"/>
      <c r="M300" s="1633"/>
    </row>
    <row r="301" spans="1:13">
      <c r="A301" s="537"/>
      <c r="B301" s="609"/>
      <c r="C301" s="608" t="s">
        <v>320</v>
      </c>
      <c r="D301" s="361"/>
      <c r="E301" s="1629"/>
      <c r="F301" s="1630"/>
      <c r="G301" s="1630"/>
      <c r="H301" s="1631"/>
      <c r="I301" s="334"/>
      <c r="J301" s="334"/>
      <c r="K301" s="334"/>
      <c r="L301" s="334"/>
      <c r="M301" s="1634"/>
    </row>
    <row r="302" spans="1:13">
      <c r="A302" s="749">
        <v>11</v>
      </c>
      <c r="B302" s="609" t="s">
        <v>300</v>
      </c>
      <c r="C302" s="608" t="s">
        <v>346</v>
      </c>
      <c r="D302" s="608" t="s">
        <v>316</v>
      </c>
      <c r="E302" s="1629"/>
      <c r="F302" s="1630"/>
      <c r="G302" s="1630"/>
      <c r="H302" s="1631"/>
      <c r="I302" s="748"/>
      <c r="J302" s="748"/>
      <c r="K302" s="748"/>
      <c r="L302" s="748"/>
      <c r="M302" s="1632"/>
    </row>
    <row r="303" spans="1:13">
      <c r="A303" s="537"/>
      <c r="B303" s="609" t="s">
        <v>317</v>
      </c>
      <c r="C303" s="608" t="s">
        <v>347</v>
      </c>
      <c r="D303" s="608" t="s">
        <v>348</v>
      </c>
      <c r="E303" s="1629"/>
      <c r="F303" s="1630"/>
      <c r="G303" s="1630"/>
      <c r="H303" s="1631"/>
      <c r="I303" s="149"/>
      <c r="J303" s="149"/>
      <c r="K303" s="149"/>
      <c r="L303" s="149"/>
      <c r="M303" s="1633"/>
    </row>
    <row r="304" spans="1:13">
      <c r="A304" s="537"/>
      <c r="B304" s="609"/>
      <c r="C304" s="608" t="s">
        <v>320</v>
      </c>
      <c r="D304" s="361"/>
      <c r="E304" s="1629"/>
      <c r="F304" s="1630"/>
      <c r="G304" s="1630"/>
      <c r="H304" s="1631"/>
      <c r="I304" s="334"/>
      <c r="J304" s="334"/>
      <c r="K304" s="334"/>
      <c r="L304" s="334"/>
      <c r="M304" s="1634"/>
    </row>
    <row r="305" spans="1:13">
      <c r="A305" s="747">
        <v>12</v>
      </c>
      <c r="B305" s="609" t="s">
        <v>300</v>
      </c>
      <c r="C305" s="608" t="s">
        <v>349</v>
      </c>
      <c r="D305" s="608" t="s">
        <v>316</v>
      </c>
      <c r="E305" s="1629"/>
      <c r="F305" s="1630"/>
      <c r="G305" s="1630"/>
      <c r="H305" s="1631"/>
      <c r="I305" s="748"/>
      <c r="J305" s="748"/>
      <c r="K305" s="748"/>
      <c r="L305" s="748"/>
      <c r="M305" s="1632"/>
    </row>
    <row r="306" spans="1:13">
      <c r="A306" s="537"/>
      <c r="B306" s="609" t="s">
        <v>317</v>
      </c>
      <c r="C306" s="608" t="s">
        <v>342</v>
      </c>
      <c r="D306" s="608" t="s">
        <v>350</v>
      </c>
      <c r="E306" s="1629"/>
      <c r="F306" s="1630"/>
      <c r="G306" s="1630"/>
      <c r="H306" s="1631"/>
      <c r="I306" s="149"/>
      <c r="J306" s="149"/>
      <c r="K306" s="149"/>
      <c r="L306" s="149"/>
      <c r="M306" s="1633"/>
    </row>
    <row r="307" spans="1:13">
      <c r="A307" s="537"/>
      <c r="B307" s="609"/>
      <c r="C307" s="608" t="s">
        <v>320</v>
      </c>
      <c r="D307" s="361"/>
      <c r="E307" s="1629"/>
      <c r="F307" s="1630"/>
      <c r="G307" s="1630"/>
      <c r="H307" s="1631"/>
      <c r="I307" s="334"/>
      <c r="J307" s="334"/>
      <c r="K307" s="334"/>
      <c r="L307" s="334"/>
      <c r="M307" s="1634"/>
    </row>
    <row r="308" spans="1:13">
      <c r="A308" s="537">
        <v>13</v>
      </c>
      <c r="B308" s="609" t="s">
        <v>300</v>
      </c>
      <c r="C308" s="608" t="s">
        <v>351</v>
      </c>
      <c r="D308" s="608" t="s">
        <v>316</v>
      </c>
      <c r="E308" s="1629"/>
      <c r="F308" s="1630"/>
      <c r="G308" s="1630"/>
      <c r="H308" s="1631"/>
      <c r="I308" s="748"/>
      <c r="J308" s="748"/>
      <c r="K308" s="748"/>
      <c r="L308" s="748"/>
      <c r="M308" s="1632"/>
    </row>
    <row r="309" spans="1:13">
      <c r="A309" s="537"/>
      <c r="B309" s="609" t="s">
        <v>317</v>
      </c>
      <c r="C309" s="608" t="s">
        <v>352</v>
      </c>
      <c r="D309" s="608" t="s">
        <v>353</v>
      </c>
      <c r="E309" s="1629"/>
      <c r="F309" s="1630"/>
      <c r="G309" s="1630"/>
      <c r="H309" s="1631"/>
      <c r="I309" s="149"/>
      <c r="J309" s="149"/>
      <c r="K309" s="149"/>
      <c r="L309" s="149"/>
      <c r="M309" s="1633"/>
    </row>
    <row r="310" spans="1:13">
      <c r="A310" s="537"/>
      <c r="B310" s="609"/>
      <c r="C310" s="608" t="s">
        <v>320</v>
      </c>
      <c r="D310" s="361"/>
      <c r="E310" s="1629"/>
      <c r="F310" s="1630"/>
      <c r="G310" s="1630"/>
      <c r="H310" s="1631"/>
      <c r="I310" s="334"/>
      <c r="J310" s="334"/>
      <c r="K310" s="334"/>
      <c r="L310" s="334"/>
      <c r="M310" s="1634"/>
    </row>
    <row r="311" spans="1:13">
      <c r="A311" s="537">
        <v>14</v>
      </c>
      <c r="B311" s="609" t="s">
        <v>300</v>
      </c>
      <c r="C311" s="608" t="s">
        <v>354</v>
      </c>
      <c r="D311" s="608" t="s">
        <v>316</v>
      </c>
      <c r="E311" s="1629"/>
      <c r="F311" s="1630"/>
      <c r="G311" s="1630"/>
      <c r="H311" s="1631"/>
      <c r="I311" s="748"/>
      <c r="J311" s="748"/>
      <c r="K311" s="748"/>
      <c r="L311" s="748"/>
      <c r="M311" s="1632"/>
    </row>
    <row r="312" spans="1:13">
      <c r="A312" s="537"/>
      <c r="B312" s="609" t="s">
        <v>317</v>
      </c>
      <c r="C312" s="608" t="s">
        <v>355</v>
      </c>
      <c r="D312" s="608" t="s">
        <v>356</v>
      </c>
      <c r="E312" s="1629"/>
      <c r="F312" s="1630"/>
      <c r="G312" s="1630"/>
      <c r="H312" s="1631"/>
      <c r="I312" s="149"/>
      <c r="J312" s="149"/>
      <c r="K312" s="149"/>
      <c r="L312" s="149"/>
      <c r="M312" s="1633"/>
    </row>
    <row r="313" spans="1:13">
      <c r="A313" s="537"/>
      <c r="B313" s="609"/>
      <c r="C313" s="608" t="s">
        <v>320</v>
      </c>
      <c r="D313" s="361"/>
      <c r="E313" s="1629"/>
      <c r="F313" s="1630"/>
      <c r="G313" s="1630"/>
      <c r="H313" s="1631"/>
      <c r="I313" s="334"/>
      <c r="J313" s="334"/>
      <c r="K313" s="334"/>
      <c r="L313" s="334"/>
      <c r="M313" s="1634"/>
    </row>
    <row r="314" spans="1:13">
      <c r="A314" s="537">
        <v>15</v>
      </c>
      <c r="B314" s="609" t="s">
        <v>300</v>
      </c>
      <c r="C314" s="608" t="s">
        <v>357</v>
      </c>
      <c r="D314" s="608" t="s">
        <v>316</v>
      </c>
      <c r="E314" s="1629"/>
      <c r="F314" s="1630"/>
      <c r="G314" s="1630"/>
      <c r="H314" s="1631"/>
      <c r="I314" s="748"/>
      <c r="J314" s="748"/>
      <c r="K314" s="748"/>
      <c r="L314" s="748"/>
      <c r="M314" s="1632"/>
    </row>
    <row r="315" spans="1:13">
      <c r="A315" s="537"/>
      <c r="B315" s="609" t="s">
        <v>317</v>
      </c>
      <c r="C315" s="608" t="s">
        <v>355</v>
      </c>
      <c r="D315" s="608" t="s">
        <v>358</v>
      </c>
      <c r="E315" s="1629"/>
      <c r="F315" s="1630"/>
      <c r="G315" s="1630"/>
      <c r="H315" s="1631"/>
      <c r="I315" s="149"/>
      <c r="J315" s="149"/>
      <c r="K315" s="149"/>
      <c r="L315" s="149"/>
      <c r="M315" s="1633"/>
    </row>
    <row r="316" spans="1:13">
      <c r="A316" s="537"/>
      <c r="B316" s="609"/>
      <c r="C316" s="608" t="s">
        <v>320</v>
      </c>
      <c r="D316" s="361"/>
      <c r="E316" s="1629"/>
      <c r="F316" s="1630"/>
      <c r="G316" s="1630"/>
      <c r="H316" s="1631"/>
      <c r="I316" s="334"/>
      <c r="J316" s="334"/>
      <c r="K316" s="334"/>
      <c r="L316" s="334"/>
      <c r="M316" s="1634"/>
    </row>
    <row r="317" spans="1:13">
      <c r="A317" s="537">
        <v>16</v>
      </c>
      <c r="B317" s="609" t="s">
        <v>300</v>
      </c>
      <c r="C317" s="608" t="s">
        <v>359</v>
      </c>
      <c r="D317" s="608" t="s">
        <v>316</v>
      </c>
      <c r="E317" s="1629"/>
      <c r="F317" s="1630"/>
      <c r="G317" s="1630"/>
      <c r="H317" s="1631"/>
      <c r="I317" s="748"/>
      <c r="J317" s="748"/>
      <c r="K317" s="748"/>
      <c r="L317" s="748"/>
      <c r="M317" s="1632"/>
    </row>
    <row r="318" spans="1:13">
      <c r="A318" s="537"/>
      <c r="B318" s="609" t="s">
        <v>317</v>
      </c>
      <c r="C318" s="608" t="s">
        <v>360</v>
      </c>
      <c r="D318" s="608" t="s">
        <v>361</v>
      </c>
      <c r="E318" s="1629"/>
      <c r="F318" s="1630"/>
      <c r="G318" s="1630"/>
      <c r="H318" s="1631"/>
      <c r="I318" s="149"/>
      <c r="J318" s="149"/>
      <c r="K318" s="149"/>
      <c r="L318" s="149"/>
      <c r="M318" s="1633"/>
    </row>
    <row r="319" spans="1:13">
      <c r="A319" s="537"/>
      <c r="B319" s="609"/>
      <c r="C319" s="608" t="s">
        <v>320</v>
      </c>
      <c r="D319" s="361"/>
      <c r="E319" s="1629"/>
      <c r="F319" s="1630"/>
      <c r="G319" s="1630"/>
      <c r="H319" s="1631"/>
      <c r="I319" s="334"/>
      <c r="J319" s="334"/>
      <c r="K319" s="334"/>
      <c r="L319" s="334"/>
      <c r="M319" s="1634"/>
    </row>
    <row r="320" spans="1:13">
      <c r="A320" s="609">
        <v>17</v>
      </c>
      <c r="B320" s="609" t="s">
        <v>300</v>
      </c>
      <c r="C320" s="609" t="s">
        <v>362</v>
      </c>
      <c r="D320" s="609" t="s">
        <v>316</v>
      </c>
      <c r="E320" s="1636"/>
      <c r="F320" s="1637"/>
      <c r="G320" s="1637"/>
      <c r="H320" s="1638"/>
      <c r="I320" s="609"/>
      <c r="J320" s="609"/>
      <c r="K320" s="609"/>
      <c r="L320" s="609"/>
      <c r="M320" s="1645"/>
    </row>
    <row r="321" spans="1:13">
      <c r="A321" s="609"/>
      <c r="B321" s="609" t="s">
        <v>317</v>
      </c>
      <c r="C321" s="609" t="s">
        <v>363</v>
      </c>
      <c r="D321" s="609" t="s">
        <v>364</v>
      </c>
      <c r="E321" s="1639"/>
      <c r="F321" s="1640"/>
      <c r="G321" s="1640"/>
      <c r="H321" s="1641"/>
      <c r="I321" s="609"/>
      <c r="J321" s="609"/>
      <c r="K321" s="609"/>
      <c r="L321" s="609"/>
      <c r="M321" s="1646"/>
    </row>
    <row r="322" spans="1:13">
      <c r="A322" s="609"/>
      <c r="B322" s="609"/>
      <c r="C322" s="609" t="s">
        <v>320</v>
      </c>
      <c r="D322" s="609"/>
      <c r="E322" s="1642"/>
      <c r="F322" s="1643"/>
      <c r="G322" s="1643"/>
      <c r="H322" s="1644"/>
      <c r="I322" s="609"/>
      <c r="J322" s="609"/>
      <c r="K322" s="609"/>
      <c r="L322" s="609"/>
      <c r="M322" s="1647"/>
    </row>
    <row r="323" spans="1:13">
      <c r="A323" s="609">
        <v>18</v>
      </c>
      <c r="B323" s="609" t="s">
        <v>2543</v>
      </c>
      <c r="C323" s="609" t="s">
        <v>2544</v>
      </c>
      <c r="D323" s="609" t="s">
        <v>306</v>
      </c>
      <c r="E323" s="1648"/>
      <c r="F323" s="1649"/>
      <c r="G323" s="1649"/>
      <c r="H323" s="1650"/>
      <c r="I323" s="609"/>
      <c r="J323" s="609"/>
      <c r="K323" s="609"/>
      <c r="L323" s="609"/>
      <c r="M323" s="609"/>
    </row>
    <row r="324" spans="1:13" ht="15.75" thickBot="1">
      <c r="D324" s="394"/>
      <c r="F324" s="750"/>
    </row>
    <row r="325" spans="1:13">
      <c r="D325" s="394"/>
    </row>
  </sheetData>
  <mergeCells count="52">
    <mergeCell ref="E320:H322"/>
    <mergeCell ref="M320:M322"/>
    <mergeCell ref="E323:H323"/>
    <mergeCell ref="E311:H313"/>
    <mergeCell ref="M311:M313"/>
    <mergeCell ref="E314:H316"/>
    <mergeCell ref="M314:M316"/>
    <mergeCell ref="E317:H319"/>
    <mergeCell ref="M317:M319"/>
    <mergeCell ref="E302:H304"/>
    <mergeCell ref="M302:M304"/>
    <mergeCell ref="E305:H307"/>
    <mergeCell ref="M305:M307"/>
    <mergeCell ref="E308:H310"/>
    <mergeCell ref="M308:M310"/>
    <mergeCell ref="E293:H295"/>
    <mergeCell ref="M293:M295"/>
    <mergeCell ref="E296:H298"/>
    <mergeCell ref="M296:M298"/>
    <mergeCell ref="E299:H301"/>
    <mergeCell ref="M299:M301"/>
    <mergeCell ref="E284:H286"/>
    <mergeCell ref="M284:M286"/>
    <mergeCell ref="E287:H289"/>
    <mergeCell ref="M287:M289"/>
    <mergeCell ref="E290:H292"/>
    <mergeCell ref="M290:M292"/>
    <mergeCell ref="E275:H277"/>
    <mergeCell ref="M275:M277"/>
    <mergeCell ref="E278:H280"/>
    <mergeCell ref="M278:M280"/>
    <mergeCell ref="E281:H283"/>
    <mergeCell ref="M281:M283"/>
    <mergeCell ref="E272:H274"/>
    <mergeCell ref="M272:M274"/>
    <mergeCell ref="D8:M8"/>
    <mergeCell ref="D9:M9"/>
    <mergeCell ref="D10:M10"/>
    <mergeCell ref="D11:M11"/>
    <mergeCell ref="D12:M12"/>
    <mergeCell ref="D13:M13"/>
    <mergeCell ref="A17:M17"/>
    <mergeCell ref="A18:M18"/>
    <mergeCell ref="A268:M268"/>
    <mergeCell ref="A269:M269"/>
    <mergeCell ref="E271:H271"/>
    <mergeCell ref="D7:M7"/>
    <mergeCell ref="B2:I2"/>
    <mergeCell ref="A3:M3"/>
    <mergeCell ref="A4:M4"/>
    <mergeCell ref="A5:M5"/>
    <mergeCell ref="D6:M6"/>
  </mergeCells>
  <printOptions horizontalCentered="1" verticalCentered="1"/>
  <pageMargins left="1.25" right="0.25" top="0.56999999999999995" bottom="0.75" header="0.7" footer="0.45"/>
  <pageSetup paperSize="5" scale="76" orientation="portrait" r:id="rId1"/>
</worksheet>
</file>

<file path=xl/worksheets/sheet33.xml><?xml version="1.0" encoding="utf-8"?>
<worksheet xmlns="http://schemas.openxmlformats.org/spreadsheetml/2006/main" xmlns:r="http://schemas.openxmlformats.org/officeDocument/2006/relationships">
  <dimension ref="A1:B106"/>
  <sheetViews>
    <sheetView topLeftCell="A88" zoomScale="75" zoomScaleNormal="75" workbookViewId="0">
      <selection activeCell="F27" sqref="F27"/>
    </sheetView>
  </sheetViews>
  <sheetFormatPr defaultColWidth="9.140625" defaultRowHeight="15.75"/>
  <cols>
    <col min="1" max="1" width="7.7109375" style="762" customWidth="1"/>
    <col min="2" max="2" width="107.42578125" style="762" customWidth="1"/>
    <col min="3" max="16384" width="9.140625" style="762"/>
  </cols>
  <sheetData>
    <row r="1" spans="1:2" ht="16.5" thickBot="1"/>
    <row r="2" spans="1:2" ht="21.75" customHeight="1" thickBot="1">
      <c r="A2" s="1651" t="s">
        <v>2723</v>
      </c>
      <c r="B2" s="1652"/>
    </row>
    <row r="4" spans="1:2" ht="19.5" customHeight="1">
      <c r="A4" s="1656" t="s">
        <v>2548</v>
      </c>
      <c r="B4" s="1657"/>
    </row>
    <row r="5" spans="1:2" ht="32.25" customHeight="1">
      <c r="A5" s="762">
        <v>1</v>
      </c>
      <c r="B5" s="810" t="s">
        <v>2549</v>
      </c>
    </row>
    <row r="6" spans="1:2" ht="24.75" customHeight="1">
      <c r="A6" s="1658" t="s">
        <v>2550</v>
      </c>
      <c r="B6" s="1659"/>
    </row>
    <row r="7" spans="1:2">
      <c r="A7" s="784">
        <v>1</v>
      </c>
      <c r="B7" s="774" t="s">
        <v>372</v>
      </c>
    </row>
    <row r="8" spans="1:2">
      <c r="A8" s="1653">
        <v>2</v>
      </c>
      <c r="B8" s="1660" t="s">
        <v>2551</v>
      </c>
    </row>
    <row r="9" spans="1:2">
      <c r="A9" s="1653"/>
      <c r="B9" s="1660"/>
    </row>
    <row r="10" spans="1:2">
      <c r="A10" s="1653">
        <v>3</v>
      </c>
      <c r="B10" s="1654" t="s">
        <v>2552</v>
      </c>
    </row>
    <row r="11" spans="1:2">
      <c r="A11" s="1653"/>
      <c r="B11" s="1655"/>
    </row>
    <row r="12" spans="1:2">
      <c r="A12" s="1653">
        <v>4</v>
      </c>
      <c r="B12" s="1660" t="s">
        <v>2553</v>
      </c>
    </row>
    <row r="13" spans="1:2">
      <c r="A13" s="1653"/>
      <c r="B13" s="1660"/>
    </row>
    <row r="14" spans="1:2">
      <c r="A14" s="1653"/>
      <c r="B14" s="1660"/>
    </row>
    <row r="15" spans="1:2">
      <c r="A15" s="1653"/>
      <c r="B15" s="1660"/>
    </row>
    <row r="16" spans="1:2">
      <c r="A16" s="1653">
        <v>5</v>
      </c>
      <c r="B16" s="1660" t="s">
        <v>2554</v>
      </c>
    </row>
    <row r="17" spans="1:2">
      <c r="A17" s="1653"/>
      <c r="B17" s="1660"/>
    </row>
    <row r="18" spans="1:2">
      <c r="A18" s="1653">
        <v>6</v>
      </c>
      <c r="B18" s="1660" t="s">
        <v>2555</v>
      </c>
    </row>
    <row r="19" spans="1:2">
      <c r="A19" s="1653"/>
      <c r="B19" s="1660"/>
    </row>
    <row r="20" spans="1:2">
      <c r="A20" s="1653"/>
      <c r="B20" s="1660"/>
    </row>
    <row r="21" spans="1:2">
      <c r="A21" s="1653">
        <v>7</v>
      </c>
      <c r="B21" s="1660" t="s">
        <v>2556</v>
      </c>
    </row>
    <row r="22" spans="1:2">
      <c r="A22" s="1653"/>
      <c r="B22" s="1660"/>
    </row>
    <row r="23" spans="1:2">
      <c r="A23" s="1653"/>
      <c r="B23" s="1660"/>
    </row>
    <row r="24" spans="1:2">
      <c r="A24" s="1653"/>
      <c r="B24" s="1660"/>
    </row>
    <row r="25" spans="1:2">
      <c r="A25" s="1653"/>
      <c r="B25" s="1660"/>
    </row>
    <row r="26" spans="1:2">
      <c r="A26" s="1653">
        <v>8</v>
      </c>
      <c r="B26" s="1660" t="s">
        <v>2557</v>
      </c>
    </row>
    <row r="27" spans="1:2">
      <c r="A27" s="1653"/>
      <c r="B27" s="1660"/>
    </row>
    <row r="28" spans="1:2">
      <c r="A28" s="1653">
        <v>9</v>
      </c>
      <c r="B28" s="1660" t="s">
        <v>2558</v>
      </c>
    </row>
    <row r="29" spans="1:2">
      <c r="A29" s="1653"/>
      <c r="B29" s="1660"/>
    </row>
    <row r="30" spans="1:2">
      <c r="A30" s="1653">
        <v>10</v>
      </c>
      <c r="B30" s="1660" t="s">
        <v>2559</v>
      </c>
    </row>
    <row r="31" spans="1:2">
      <c r="A31" s="1653"/>
      <c r="B31" s="1660"/>
    </row>
    <row r="32" spans="1:2">
      <c r="A32" s="1653"/>
      <c r="B32" s="1660"/>
    </row>
    <row r="33" spans="1:2">
      <c r="A33" s="1653">
        <v>11</v>
      </c>
      <c r="B33" s="1660" t="s">
        <v>2560</v>
      </c>
    </row>
    <row r="34" spans="1:2">
      <c r="A34" s="1653"/>
      <c r="B34" s="1660"/>
    </row>
    <row r="35" spans="1:2">
      <c r="A35" s="1653"/>
      <c r="B35" s="1660"/>
    </row>
    <row r="36" spans="1:2">
      <c r="A36" s="1653"/>
      <c r="B36" s="1660"/>
    </row>
    <row r="37" spans="1:2">
      <c r="A37" s="1653"/>
      <c r="B37" s="1660"/>
    </row>
    <row r="38" spans="1:2">
      <c r="A38" s="1653">
        <v>12</v>
      </c>
      <c r="B38" s="1660" t="s">
        <v>2561</v>
      </c>
    </row>
    <row r="39" spans="1:2">
      <c r="A39" s="1653"/>
      <c r="B39" s="1660"/>
    </row>
    <row r="40" spans="1:2">
      <c r="A40" s="1653"/>
      <c r="B40" s="1660"/>
    </row>
    <row r="41" spans="1:2">
      <c r="A41" s="1653">
        <v>13</v>
      </c>
      <c r="B41" s="1660" t="s">
        <v>2562</v>
      </c>
    </row>
    <row r="42" spans="1:2">
      <c r="A42" s="1653"/>
      <c r="B42" s="1660"/>
    </row>
    <row r="43" spans="1:2">
      <c r="A43" s="1653"/>
      <c r="B43" s="1660"/>
    </row>
    <row r="44" spans="1:2">
      <c r="A44" s="1653">
        <v>14</v>
      </c>
      <c r="B44" s="1660" t="s">
        <v>2563</v>
      </c>
    </row>
    <row r="45" spans="1:2">
      <c r="A45" s="1653"/>
      <c r="B45" s="1660"/>
    </row>
    <row r="46" spans="1:2">
      <c r="A46" s="1653"/>
      <c r="B46" s="1660"/>
    </row>
    <row r="47" spans="1:2">
      <c r="A47" s="1653">
        <v>15</v>
      </c>
      <c r="B47" s="1660" t="s">
        <v>2564</v>
      </c>
    </row>
    <row r="48" spans="1:2">
      <c r="A48" s="1653"/>
      <c r="B48" s="1660"/>
    </row>
    <row r="49" spans="1:2">
      <c r="A49" s="1653"/>
      <c r="B49" s="1660"/>
    </row>
    <row r="50" spans="1:2">
      <c r="A50" s="1653">
        <v>16</v>
      </c>
      <c r="B50" s="1660" t="s">
        <v>2565</v>
      </c>
    </row>
    <row r="51" spans="1:2">
      <c r="A51" s="1653"/>
      <c r="B51" s="1660"/>
    </row>
    <row r="52" spans="1:2">
      <c r="A52" s="1653"/>
      <c r="B52" s="1660"/>
    </row>
    <row r="53" spans="1:2">
      <c r="A53" s="1653">
        <v>17</v>
      </c>
      <c r="B53" s="1661" t="s">
        <v>2566</v>
      </c>
    </row>
    <row r="54" spans="1:2">
      <c r="A54" s="1653"/>
      <c r="B54" s="1661"/>
    </row>
    <row r="55" spans="1:2">
      <c r="A55" s="1653"/>
      <c r="B55" s="1661"/>
    </row>
    <row r="56" spans="1:2">
      <c r="A56" s="1653">
        <v>18</v>
      </c>
      <c r="B56" s="1660" t="s">
        <v>2567</v>
      </c>
    </row>
    <row r="57" spans="1:2">
      <c r="A57" s="1653"/>
      <c r="B57" s="1660"/>
    </row>
    <row r="58" spans="1:2">
      <c r="A58" s="1653"/>
      <c r="B58" s="1660"/>
    </row>
    <row r="59" spans="1:2">
      <c r="A59" s="1653"/>
      <c r="B59" s="1660"/>
    </row>
    <row r="60" spans="1:2">
      <c r="A60" s="1653">
        <v>19</v>
      </c>
      <c r="B60" s="1660" t="s">
        <v>2568</v>
      </c>
    </row>
    <row r="61" spans="1:2">
      <c r="A61" s="1653"/>
      <c r="B61" s="1660"/>
    </row>
    <row r="62" spans="1:2">
      <c r="A62" s="1653"/>
      <c r="B62" s="1660"/>
    </row>
    <row r="63" spans="1:2">
      <c r="A63" s="1653"/>
      <c r="B63" s="1660"/>
    </row>
    <row r="64" spans="1:2">
      <c r="A64" s="1653">
        <v>20</v>
      </c>
      <c r="B64" s="1660" t="s">
        <v>2569</v>
      </c>
    </row>
    <row r="65" spans="1:2">
      <c r="A65" s="1653"/>
      <c r="B65" s="1660"/>
    </row>
    <row r="66" spans="1:2">
      <c r="A66" s="1653"/>
      <c r="B66" s="1660"/>
    </row>
    <row r="67" spans="1:2">
      <c r="A67" s="1653">
        <v>21</v>
      </c>
      <c r="B67" s="1660" t="s">
        <v>2570</v>
      </c>
    </row>
    <row r="68" spans="1:2">
      <c r="A68" s="1653"/>
      <c r="B68" s="1660"/>
    </row>
    <row r="69" spans="1:2">
      <c r="A69" s="1653"/>
      <c r="B69" s="1660"/>
    </row>
    <row r="70" spans="1:2">
      <c r="A70" s="1653">
        <v>22</v>
      </c>
      <c r="B70" s="1660" t="s">
        <v>2571</v>
      </c>
    </row>
    <row r="71" spans="1:2">
      <c r="A71" s="1653"/>
      <c r="B71" s="1660"/>
    </row>
    <row r="72" spans="1:2">
      <c r="A72" s="1653"/>
      <c r="B72" s="1660"/>
    </row>
    <row r="73" spans="1:2">
      <c r="A73" s="1653">
        <v>23</v>
      </c>
      <c r="B73" s="1660" t="s">
        <v>2572</v>
      </c>
    </row>
    <row r="74" spans="1:2">
      <c r="A74" s="1653"/>
      <c r="B74" s="1660"/>
    </row>
    <row r="75" spans="1:2">
      <c r="A75" s="1653"/>
      <c r="B75" s="1660"/>
    </row>
    <row r="76" spans="1:2">
      <c r="A76" s="1653">
        <v>24</v>
      </c>
      <c r="B76" s="1660" t="s">
        <v>2573</v>
      </c>
    </row>
    <row r="77" spans="1:2">
      <c r="A77" s="1653"/>
      <c r="B77" s="1660"/>
    </row>
    <row r="78" spans="1:2">
      <c r="A78" s="1653"/>
      <c r="B78" s="1660"/>
    </row>
    <row r="79" spans="1:2">
      <c r="A79" s="1653">
        <v>25</v>
      </c>
      <c r="B79" s="1660" t="s">
        <v>2574</v>
      </c>
    </row>
    <row r="80" spans="1:2">
      <c r="A80" s="1653"/>
      <c r="B80" s="1660"/>
    </row>
    <row r="81" spans="1:2">
      <c r="A81" s="1653"/>
      <c r="B81" s="1660"/>
    </row>
    <row r="82" spans="1:2">
      <c r="A82" s="1653"/>
      <c r="B82" s="1660"/>
    </row>
    <row r="83" spans="1:2">
      <c r="A83" s="1653"/>
      <c r="B83" s="1660"/>
    </row>
    <row r="84" spans="1:2">
      <c r="A84" s="1653">
        <v>26</v>
      </c>
      <c r="B84" s="1660" t="s">
        <v>2575</v>
      </c>
    </row>
    <row r="85" spans="1:2">
      <c r="A85" s="1653"/>
      <c r="B85" s="1660"/>
    </row>
    <row r="86" spans="1:2">
      <c r="A86" s="1653"/>
      <c r="B86" s="1660"/>
    </row>
    <row r="87" spans="1:2">
      <c r="A87" s="1653"/>
      <c r="B87" s="1660"/>
    </row>
    <row r="88" spans="1:2">
      <c r="A88" s="1653"/>
      <c r="B88" s="1660"/>
    </row>
    <row r="89" spans="1:2">
      <c r="A89" s="1653"/>
      <c r="B89" s="1660"/>
    </row>
    <row r="90" spans="1:2">
      <c r="A90" s="1653"/>
      <c r="B90" s="1660"/>
    </row>
    <row r="91" spans="1:2">
      <c r="A91" s="1653">
        <v>27</v>
      </c>
      <c r="B91" s="1660" t="s">
        <v>2576</v>
      </c>
    </row>
    <row r="92" spans="1:2">
      <c r="A92" s="1653"/>
      <c r="B92" s="1660"/>
    </row>
    <row r="93" spans="1:2">
      <c r="A93" s="1653"/>
      <c r="B93" s="1660"/>
    </row>
    <row r="94" spans="1:2">
      <c r="A94" s="1653">
        <v>28</v>
      </c>
      <c r="B94" s="1661" t="s">
        <v>2577</v>
      </c>
    </row>
    <row r="95" spans="1:2">
      <c r="A95" s="1653"/>
      <c r="B95" s="1661"/>
    </row>
    <row r="96" spans="1:2">
      <c r="A96" s="1653"/>
      <c r="B96" s="1661"/>
    </row>
    <row r="97" spans="1:2">
      <c r="A97" s="1653"/>
      <c r="B97" s="1661"/>
    </row>
    <row r="98" spans="1:2" ht="47.25">
      <c r="A98" s="784">
        <v>29</v>
      </c>
      <c r="B98" s="775" t="s">
        <v>2578</v>
      </c>
    </row>
    <row r="99" spans="1:2" ht="47.25">
      <c r="A99" s="784">
        <v>30</v>
      </c>
      <c r="B99" s="775" t="s">
        <v>2579</v>
      </c>
    </row>
    <row r="100" spans="1:2" ht="47.25">
      <c r="A100" s="784">
        <v>31</v>
      </c>
      <c r="B100" s="775" t="s">
        <v>2580</v>
      </c>
    </row>
    <row r="101" spans="1:2" ht="31.5">
      <c r="A101" s="784">
        <v>32</v>
      </c>
      <c r="B101" s="775" t="s">
        <v>2581</v>
      </c>
    </row>
    <row r="102" spans="1:2" ht="47.25">
      <c r="A102" s="784">
        <v>33</v>
      </c>
      <c r="B102" s="775" t="s">
        <v>2582</v>
      </c>
    </row>
    <row r="103" spans="1:2" ht="31.5">
      <c r="A103" s="784">
        <v>34</v>
      </c>
      <c r="B103" s="775" t="s">
        <v>2583</v>
      </c>
    </row>
    <row r="104" spans="1:2" ht="27.75" customHeight="1">
      <c r="A104" s="1662" t="s">
        <v>2584</v>
      </c>
      <c r="B104" s="1662"/>
    </row>
    <row r="105" spans="1:2">
      <c r="A105" s="1662" t="s">
        <v>2585</v>
      </c>
      <c r="B105" s="1662"/>
    </row>
    <row r="106" spans="1:2" ht="32.25" customHeight="1"/>
  </sheetData>
  <mergeCells count="59">
    <mergeCell ref="A94:A97"/>
    <mergeCell ref="B94:B97"/>
    <mergeCell ref="A104:B104"/>
    <mergeCell ref="A105:B105"/>
    <mergeCell ref="A79:A83"/>
    <mergeCell ref="B79:B83"/>
    <mergeCell ref="A84:A90"/>
    <mergeCell ref="B84:B90"/>
    <mergeCell ref="A91:A93"/>
    <mergeCell ref="B91:B93"/>
    <mergeCell ref="A70:A72"/>
    <mergeCell ref="B70:B72"/>
    <mergeCell ref="A73:A75"/>
    <mergeCell ref="B73:B75"/>
    <mergeCell ref="A76:A78"/>
    <mergeCell ref="B76:B78"/>
    <mergeCell ref="A60:A63"/>
    <mergeCell ref="B60:B63"/>
    <mergeCell ref="A64:A66"/>
    <mergeCell ref="B64:B66"/>
    <mergeCell ref="A67:A69"/>
    <mergeCell ref="B67:B69"/>
    <mergeCell ref="A50:A52"/>
    <mergeCell ref="B50:B52"/>
    <mergeCell ref="A53:A55"/>
    <mergeCell ref="B53:B55"/>
    <mergeCell ref="A56:A59"/>
    <mergeCell ref="B56:B59"/>
    <mergeCell ref="A41:A43"/>
    <mergeCell ref="B41:B43"/>
    <mergeCell ref="A44:A46"/>
    <mergeCell ref="B44:B46"/>
    <mergeCell ref="A47:A49"/>
    <mergeCell ref="B47:B49"/>
    <mergeCell ref="A30:A32"/>
    <mergeCell ref="B30:B32"/>
    <mergeCell ref="A33:A37"/>
    <mergeCell ref="B33:B37"/>
    <mergeCell ref="A38:A40"/>
    <mergeCell ref="B38:B40"/>
    <mergeCell ref="A21:A25"/>
    <mergeCell ref="B21:B25"/>
    <mergeCell ref="A26:A27"/>
    <mergeCell ref="B26:B27"/>
    <mergeCell ref="A28:A29"/>
    <mergeCell ref="B28:B29"/>
    <mergeCell ref="A12:A15"/>
    <mergeCell ref="B12:B15"/>
    <mergeCell ref="A16:A17"/>
    <mergeCell ref="B16:B17"/>
    <mergeCell ref="A18:A20"/>
    <mergeCell ref="B18:B20"/>
    <mergeCell ref="A2:B2"/>
    <mergeCell ref="A10:A11"/>
    <mergeCell ref="B10:B11"/>
    <mergeCell ref="A4:B4"/>
    <mergeCell ref="A6:B6"/>
    <mergeCell ref="A8:A9"/>
    <mergeCell ref="B8:B9"/>
  </mergeCells>
  <pageMargins left="1" right="0.25" top="0.75" bottom="0.75" header="0.3" footer="0.3"/>
  <pageSetup paperSize="5" scale="75" orientation="portrait" r:id="rId1"/>
</worksheet>
</file>

<file path=xl/worksheets/sheet34.xml><?xml version="1.0" encoding="utf-8"?>
<worksheet xmlns="http://schemas.openxmlformats.org/spreadsheetml/2006/main" xmlns:r="http://schemas.openxmlformats.org/officeDocument/2006/relationships">
  <dimension ref="A1:D8"/>
  <sheetViews>
    <sheetView topLeftCell="A3" zoomScale="75" zoomScaleNormal="75" workbookViewId="0">
      <selection activeCell="M21" sqref="M21"/>
    </sheetView>
  </sheetViews>
  <sheetFormatPr defaultColWidth="9.140625" defaultRowHeight="14.25"/>
  <cols>
    <col min="1" max="1" width="24.42578125" style="763" customWidth="1"/>
    <col min="2" max="2" width="22.28515625" style="763" customWidth="1"/>
    <col min="3" max="3" width="26" style="763" customWidth="1"/>
    <col min="4" max="4" width="5.140625" style="763" customWidth="1"/>
    <col min="5" max="16384" width="9.140625" style="763"/>
  </cols>
  <sheetData>
    <row r="1" spans="1:4" hidden="1"/>
    <row r="2" spans="1:4" ht="15" hidden="1" thickBot="1"/>
    <row r="3" spans="1:4" ht="15" thickBot="1"/>
    <row r="4" spans="1:4" ht="16.5" thickBot="1">
      <c r="A4" s="1651" t="s">
        <v>2586</v>
      </c>
      <c r="B4" s="1663"/>
      <c r="C4" s="1663"/>
      <c r="D4" s="1652"/>
    </row>
    <row r="6" spans="1:4">
      <c r="A6" s="1664" t="s">
        <v>2587</v>
      </c>
      <c r="B6" s="1665"/>
      <c r="C6" s="1665"/>
      <c r="D6" s="1666"/>
    </row>
    <row r="7" spans="1:4">
      <c r="A7" s="1667" t="s">
        <v>2588</v>
      </c>
      <c r="B7" s="1667"/>
      <c r="C7" s="1667"/>
      <c r="D7" s="1667"/>
    </row>
    <row r="8" spans="1:4">
      <c r="A8" s="1667" t="s">
        <v>2589</v>
      </c>
      <c r="B8" s="1667"/>
      <c r="C8" s="1667"/>
      <c r="D8" s="1667"/>
    </row>
  </sheetData>
  <mergeCells count="4">
    <mergeCell ref="A4:D4"/>
    <mergeCell ref="A6:D6"/>
    <mergeCell ref="A7:D7"/>
    <mergeCell ref="A8:D8"/>
  </mergeCell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dimension ref="A1:H44"/>
  <sheetViews>
    <sheetView zoomScale="75" zoomScaleNormal="75" workbookViewId="0">
      <selection activeCell="L10" sqref="L10"/>
    </sheetView>
  </sheetViews>
  <sheetFormatPr defaultColWidth="9.140625" defaultRowHeight="15.75"/>
  <cols>
    <col min="1" max="1" width="8.140625" style="762" customWidth="1"/>
    <col min="2" max="2" width="27.5703125" style="762" customWidth="1"/>
    <col min="3" max="3" width="22.85546875" style="762" customWidth="1"/>
    <col min="4" max="4" width="13" style="762" customWidth="1"/>
    <col min="5" max="7" width="9.140625" style="762"/>
    <col min="8" max="8" width="0.42578125" style="762" customWidth="1"/>
    <col min="9" max="16384" width="9.140625" style="762"/>
  </cols>
  <sheetData>
    <row r="1" spans="1:8" ht="16.5" thickBot="1"/>
    <row r="2" spans="1:8" ht="24.75" customHeight="1" thickBot="1">
      <c r="A2" s="1651" t="s">
        <v>2590</v>
      </c>
      <c r="B2" s="1663"/>
      <c r="C2" s="1663"/>
      <c r="D2" s="1663"/>
      <c r="E2" s="1663"/>
      <c r="F2" s="1663"/>
      <c r="G2" s="1652"/>
    </row>
    <row r="4" spans="1:8">
      <c r="A4" s="1670" t="s">
        <v>2548</v>
      </c>
      <c r="B4" s="1670"/>
      <c r="C4" s="1670"/>
      <c r="D4" s="1670"/>
      <c r="E4" s="1670"/>
      <c r="F4" s="1670"/>
      <c r="G4" s="1670"/>
    </row>
    <row r="5" spans="1:8">
      <c r="A5" s="779">
        <v>1</v>
      </c>
      <c r="B5" s="1671" t="s">
        <v>2591</v>
      </c>
      <c r="C5" s="1671"/>
      <c r="D5" s="1671"/>
      <c r="E5" s="1671"/>
      <c r="F5" s="1671"/>
      <c r="G5" s="1671"/>
      <c r="H5" s="1671"/>
    </row>
    <row r="6" spans="1:8" ht="30" customHeight="1">
      <c r="A6" s="790">
        <v>2</v>
      </c>
      <c r="B6" s="1672" t="s">
        <v>2592</v>
      </c>
      <c r="C6" s="1673"/>
      <c r="D6" s="1673"/>
      <c r="E6" s="1673"/>
      <c r="F6" s="1673"/>
      <c r="G6" s="1673"/>
      <c r="H6" s="1674"/>
    </row>
    <row r="7" spans="1:8">
      <c r="A7" s="779">
        <v>3</v>
      </c>
      <c r="B7" s="1671" t="s">
        <v>372</v>
      </c>
      <c r="C7" s="1671"/>
      <c r="D7" s="1671"/>
      <c r="E7" s="1671"/>
      <c r="F7" s="1671"/>
      <c r="G7" s="1671"/>
      <c r="H7" s="1671"/>
    </row>
    <row r="8" spans="1:8">
      <c r="A8" s="1668" t="s">
        <v>2550</v>
      </c>
      <c r="B8" s="1669"/>
      <c r="C8" s="1669"/>
      <c r="D8" s="1669"/>
      <c r="E8" s="1669"/>
      <c r="F8" s="1669"/>
      <c r="G8" s="1669"/>
    </row>
    <row r="9" spans="1:8" ht="46.5" customHeight="1">
      <c r="A9" s="779">
        <v>1</v>
      </c>
      <c r="B9" s="1660" t="s">
        <v>2593</v>
      </c>
      <c r="C9" s="1660"/>
      <c r="D9" s="1660"/>
      <c r="E9" s="1660"/>
      <c r="F9" s="1660"/>
      <c r="G9" s="1660"/>
    </row>
    <row r="10" spans="1:8" ht="37.5" customHeight="1">
      <c r="A10" s="779">
        <v>2</v>
      </c>
      <c r="B10" s="1660" t="s">
        <v>2594</v>
      </c>
      <c r="C10" s="1660"/>
      <c r="D10" s="1660"/>
      <c r="E10" s="1660"/>
      <c r="F10" s="1660"/>
      <c r="G10" s="1660"/>
    </row>
    <row r="11" spans="1:8" ht="15" customHeight="1">
      <c r="A11" s="1675">
        <v>3</v>
      </c>
      <c r="B11" s="1660" t="s">
        <v>2595</v>
      </c>
      <c r="C11" s="1660"/>
      <c r="D11" s="1660"/>
      <c r="E11" s="1660"/>
      <c r="F11" s="1660"/>
      <c r="G11" s="1660"/>
    </row>
    <row r="12" spans="1:8">
      <c r="A12" s="1675"/>
      <c r="B12" s="1660"/>
      <c r="C12" s="1660"/>
      <c r="D12" s="1660"/>
      <c r="E12" s="1660"/>
      <c r="F12" s="1660"/>
      <c r="G12" s="1660"/>
    </row>
    <row r="13" spans="1:8">
      <c r="A13" s="1675"/>
      <c r="B13" s="1660"/>
      <c r="C13" s="1660"/>
      <c r="D13" s="1660"/>
      <c r="E13" s="1660"/>
      <c r="F13" s="1660"/>
      <c r="G13" s="1660"/>
    </row>
    <row r="14" spans="1:8" ht="15" customHeight="1">
      <c r="A14" s="1675">
        <v>4</v>
      </c>
      <c r="B14" s="1660" t="s">
        <v>2596</v>
      </c>
      <c r="C14" s="1660"/>
      <c r="D14" s="1660"/>
      <c r="E14" s="1660"/>
      <c r="F14" s="1660"/>
      <c r="G14" s="1660"/>
    </row>
    <row r="15" spans="1:8">
      <c r="A15" s="1675"/>
      <c r="B15" s="1660"/>
      <c r="C15" s="1660"/>
      <c r="D15" s="1660"/>
      <c r="E15" s="1660"/>
      <c r="F15" s="1660"/>
      <c r="G15" s="1660"/>
    </row>
    <row r="16" spans="1:8">
      <c r="A16" s="1675"/>
      <c r="B16" s="1660"/>
      <c r="C16" s="1660"/>
      <c r="D16" s="1660"/>
      <c r="E16" s="1660"/>
      <c r="F16" s="1660"/>
      <c r="G16" s="1660"/>
    </row>
    <row r="17" spans="1:7" ht="15" customHeight="1">
      <c r="A17" s="1675">
        <v>5</v>
      </c>
      <c r="B17" s="1660" t="s">
        <v>2597</v>
      </c>
      <c r="C17" s="1660"/>
      <c r="D17" s="1660"/>
      <c r="E17" s="1660"/>
      <c r="F17" s="1660"/>
      <c r="G17" s="1660"/>
    </row>
    <row r="18" spans="1:7">
      <c r="A18" s="1675"/>
      <c r="B18" s="1660"/>
      <c r="C18" s="1660"/>
      <c r="D18" s="1660"/>
      <c r="E18" s="1660"/>
      <c r="F18" s="1660"/>
      <c r="G18" s="1660"/>
    </row>
    <row r="19" spans="1:7">
      <c r="A19" s="1675"/>
      <c r="B19" s="1660"/>
      <c r="C19" s="1660"/>
      <c r="D19" s="1660"/>
      <c r="E19" s="1660"/>
      <c r="F19" s="1660"/>
      <c r="G19" s="1660"/>
    </row>
    <row r="20" spans="1:7" ht="15" customHeight="1">
      <c r="A20" s="1675">
        <v>6</v>
      </c>
      <c r="B20" s="1660" t="s">
        <v>2574</v>
      </c>
      <c r="C20" s="1660"/>
      <c r="D20" s="1660"/>
      <c r="E20" s="1660"/>
      <c r="F20" s="1660"/>
      <c r="G20" s="1660"/>
    </row>
    <row r="21" spans="1:7">
      <c r="A21" s="1675"/>
      <c r="B21" s="1660"/>
      <c r="C21" s="1660"/>
      <c r="D21" s="1660"/>
      <c r="E21" s="1660"/>
      <c r="F21" s="1660"/>
      <c r="G21" s="1660"/>
    </row>
    <row r="22" spans="1:7">
      <c r="A22" s="1675"/>
      <c r="B22" s="1660"/>
      <c r="C22" s="1660"/>
      <c r="D22" s="1660"/>
      <c r="E22" s="1660"/>
      <c r="F22" s="1660"/>
      <c r="G22" s="1660"/>
    </row>
    <row r="23" spans="1:7">
      <c r="A23" s="1675"/>
      <c r="B23" s="1660"/>
      <c r="C23" s="1660"/>
      <c r="D23" s="1660"/>
      <c r="E23" s="1660"/>
      <c r="F23" s="1660"/>
      <c r="G23" s="1660"/>
    </row>
    <row r="24" spans="1:7">
      <c r="A24" s="1675"/>
      <c r="B24" s="1660"/>
      <c r="C24" s="1660"/>
      <c r="D24" s="1660"/>
      <c r="E24" s="1660"/>
      <c r="F24" s="1660"/>
      <c r="G24" s="1660"/>
    </row>
    <row r="25" spans="1:7" ht="15" customHeight="1">
      <c r="A25" s="1675">
        <v>7</v>
      </c>
      <c r="B25" s="1660" t="s">
        <v>2575</v>
      </c>
      <c r="C25" s="1660"/>
      <c r="D25" s="1660"/>
      <c r="E25" s="1660"/>
      <c r="F25" s="1660"/>
      <c r="G25" s="1660"/>
    </row>
    <row r="26" spans="1:7">
      <c r="A26" s="1675"/>
      <c r="B26" s="1660"/>
      <c r="C26" s="1660"/>
      <c r="D26" s="1660"/>
      <c r="E26" s="1660"/>
      <c r="F26" s="1660"/>
      <c r="G26" s="1660"/>
    </row>
    <row r="27" spans="1:7">
      <c r="A27" s="1675"/>
      <c r="B27" s="1660"/>
      <c r="C27" s="1660"/>
      <c r="D27" s="1660"/>
      <c r="E27" s="1660"/>
      <c r="F27" s="1660"/>
      <c r="G27" s="1660"/>
    </row>
    <row r="28" spans="1:7">
      <c r="A28" s="1675"/>
      <c r="B28" s="1660"/>
      <c r="C28" s="1660"/>
      <c r="D28" s="1660"/>
      <c r="E28" s="1660"/>
      <c r="F28" s="1660"/>
      <c r="G28" s="1660"/>
    </row>
    <row r="29" spans="1:7">
      <c r="A29" s="1675"/>
      <c r="B29" s="1660"/>
      <c r="C29" s="1660"/>
      <c r="D29" s="1660"/>
      <c r="E29" s="1660"/>
      <c r="F29" s="1660"/>
      <c r="G29" s="1660"/>
    </row>
    <row r="30" spans="1:7">
      <c r="A30" s="1675"/>
      <c r="B30" s="1660"/>
      <c r="C30" s="1660"/>
      <c r="D30" s="1660"/>
      <c r="E30" s="1660"/>
      <c r="F30" s="1660"/>
      <c r="G30" s="1660"/>
    </row>
    <row r="31" spans="1:7">
      <c r="A31" s="1675"/>
      <c r="B31" s="1660"/>
      <c r="C31" s="1660"/>
      <c r="D31" s="1660"/>
      <c r="E31" s="1660"/>
      <c r="F31" s="1660"/>
      <c r="G31" s="1660"/>
    </row>
    <row r="32" spans="1:7" ht="15" customHeight="1">
      <c r="A32" s="1675">
        <v>8</v>
      </c>
      <c r="B32" s="1660" t="s">
        <v>2598</v>
      </c>
      <c r="C32" s="1660"/>
      <c r="D32" s="1660"/>
      <c r="E32" s="1660"/>
      <c r="F32" s="1660"/>
      <c r="G32" s="1660"/>
    </row>
    <row r="33" spans="1:7">
      <c r="A33" s="1675"/>
      <c r="B33" s="1660"/>
      <c r="C33" s="1660"/>
      <c r="D33" s="1660"/>
      <c r="E33" s="1660"/>
      <c r="F33" s="1660"/>
      <c r="G33" s="1660"/>
    </row>
    <row r="34" spans="1:7">
      <c r="A34" s="1675"/>
      <c r="B34" s="1660"/>
      <c r="C34" s="1660"/>
      <c r="D34" s="1660"/>
      <c r="E34" s="1660"/>
      <c r="F34" s="1660"/>
      <c r="G34" s="1660"/>
    </row>
    <row r="35" spans="1:7" ht="15" customHeight="1">
      <c r="A35" s="1675">
        <v>9</v>
      </c>
      <c r="B35" s="1661" t="s">
        <v>2577</v>
      </c>
      <c r="C35" s="1661"/>
      <c r="D35" s="1661"/>
      <c r="E35" s="1661"/>
      <c r="F35" s="1661"/>
      <c r="G35" s="1661"/>
    </row>
    <row r="36" spans="1:7">
      <c r="A36" s="1675"/>
      <c r="B36" s="1661"/>
      <c r="C36" s="1661"/>
      <c r="D36" s="1661"/>
      <c r="E36" s="1661"/>
      <c r="F36" s="1661"/>
      <c r="G36" s="1661"/>
    </row>
    <row r="37" spans="1:7">
      <c r="A37" s="1675"/>
      <c r="B37" s="1661"/>
      <c r="C37" s="1661"/>
      <c r="D37" s="1661"/>
      <c r="E37" s="1661"/>
      <c r="F37" s="1661"/>
      <c r="G37" s="1661"/>
    </row>
    <row r="38" spans="1:7">
      <c r="A38" s="1675"/>
      <c r="B38" s="1661"/>
      <c r="C38" s="1661"/>
      <c r="D38" s="1661"/>
      <c r="E38" s="1661"/>
      <c r="F38" s="1661"/>
      <c r="G38" s="1661"/>
    </row>
    <row r="39" spans="1:7" ht="58.5" customHeight="1">
      <c r="A39" s="779">
        <v>10</v>
      </c>
      <c r="B39" s="1660" t="s">
        <v>2599</v>
      </c>
      <c r="C39" s="1660"/>
      <c r="D39" s="1660"/>
      <c r="E39" s="1660"/>
      <c r="F39" s="1660"/>
      <c r="G39" s="1660"/>
    </row>
    <row r="40" spans="1:7" ht="50.25" customHeight="1">
      <c r="A40" s="779">
        <v>11</v>
      </c>
      <c r="B40" s="1660" t="s">
        <v>2579</v>
      </c>
      <c r="C40" s="1660"/>
      <c r="D40" s="1660"/>
      <c r="E40" s="1660"/>
      <c r="F40" s="1660"/>
      <c r="G40" s="1660"/>
    </row>
    <row r="41" spans="1:7" ht="55.5" customHeight="1">
      <c r="A41" s="779">
        <v>12</v>
      </c>
      <c r="B41" s="1660" t="s">
        <v>2600</v>
      </c>
      <c r="C41" s="1660"/>
      <c r="D41" s="1660"/>
      <c r="E41" s="1660"/>
      <c r="F41" s="1660"/>
      <c r="G41" s="1660"/>
    </row>
    <row r="42" spans="1:7" ht="33" customHeight="1">
      <c r="A42" s="779">
        <v>13</v>
      </c>
      <c r="B42" s="1660" t="s">
        <v>2601</v>
      </c>
      <c r="C42" s="1660"/>
      <c r="D42" s="1660"/>
      <c r="E42" s="1660"/>
      <c r="F42" s="1660"/>
      <c r="G42" s="1660"/>
    </row>
    <row r="43" spans="1:7" ht="51.75" customHeight="1">
      <c r="A43" s="779">
        <v>14</v>
      </c>
      <c r="B43" s="1660" t="s">
        <v>2582</v>
      </c>
      <c r="C43" s="1660"/>
      <c r="D43" s="1660"/>
      <c r="E43" s="1660"/>
      <c r="F43" s="1660"/>
      <c r="G43" s="1660"/>
    </row>
    <row r="44" spans="1:7" ht="49.5" customHeight="1">
      <c r="A44" s="779">
        <v>15</v>
      </c>
      <c r="B44" s="1660" t="s">
        <v>2602</v>
      </c>
      <c r="C44" s="1660"/>
      <c r="D44" s="1660"/>
      <c r="E44" s="1660"/>
      <c r="F44" s="1660"/>
      <c r="G44" s="1660"/>
    </row>
  </sheetData>
  <mergeCells count="28">
    <mergeCell ref="B41:G41"/>
    <mergeCell ref="B42:G42"/>
    <mergeCell ref="B43:G43"/>
    <mergeCell ref="B44:G44"/>
    <mergeCell ref="A32:A34"/>
    <mergeCell ref="B32:G34"/>
    <mergeCell ref="A35:A38"/>
    <mergeCell ref="B35:G38"/>
    <mergeCell ref="B39:G39"/>
    <mergeCell ref="B40:G40"/>
    <mergeCell ref="A17:A19"/>
    <mergeCell ref="B17:G19"/>
    <mergeCell ref="A20:A24"/>
    <mergeCell ref="B20:G24"/>
    <mergeCell ref="A25:A31"/>
    <mergeCell ref="B25:G31"/>
    <mergeCell ref="B9:G9"/>
    <mergeCell ref="B10:G10"/>
    <mergeCell ref="A11:A13"/>
    <mergeCell ref="B11:G13"/>
    <mergeCell ref="A14:A16"/>
    <mergeCell ref="B14:G16"/>
    <mergeCell ref="A8:G8"/>
    <mergeCell ref="A2:G2"/>
    <mergeCell ref="A4:G4"/>
    <mergeCell ref="B5:H5"/>
    <mergeCell ref="B6:H6"/>
    <mergeCell ref="B7:H7"/>
  </mergeCells>
  <pageMargins left="1.2" right="0.2" top="0.75" bottom="0.75" header="0.3" footer="0.3"/>
  <pageSetup paperSize="5" scale="82" orientation="portrait" r:id="rId1"/>
</worksheet>
</file>

<file path=xl/worksheets/sheet36.xml><?xml version="1.0" encoding="utf-8"?>
<worksheet xmlns="http://schemas.openxmlformats.org/spreadsheetml/2006/main" xmlns:r="http://schemas.openxmlformats.org/officeDocument/2006/relationships">
  <dimension ref="A1:D26"/>
  <sheetViews>
    <sheetView topLeftCell="A7" zoomScale="75" zoomScaleNormal="75" workbookViewId="0">
      <selection activeCell="L18" sqref="L18"/>
    </sheetView>
  </sheetViews>
  <sheetFormatPr defaultColWidth="9.140625" defaultRowHeight="15.75"/>
  <cols>
    <col min="1" max="1" width="6.5703125" style="762" customWidth="1"/>
    <col min="2" max="2" width="19.42578125" style="762" customWidth="1"/>
    <col min="3" max="3" width="18" style="762" customWidth="1"/>
    <col min="4" max="4" width="85.7109375" style="762" customWidth="1"/>
    <col min="5" max="16384" width="9.140625" style="762"/>
  </cols>
  <sheetData>
    <row r="1" spans="1:4" ht="16.5" thickBot="1"/>
    <row r="2" spans="1:4" ht="16.5" thickBot="1">
      <c r="A2" s="1651" t="s">
        <v>369</v>
      </c>
      <c r="B2" s="1663"/>
      <c r="C2" s="1663"/>
      <c r="D2" s="1652"/>
    </row>
    <row r="4" spans="1:4">
      <c r="A4" s="1676" t="s">
        <v>2587</v>
      </c>
      <c r="B4" s="1676"/>
      <c r="C4" s="1676"/>
      <c r="D4" s="1676"/>
    </row>
    <row r="5" spans="1:4" ht="15" customHeight="1">
      <c r="A5" s="1675">
        <v>1</v>
      </c>
      <c r="B5" s="1660" t="s">
        <v>2603</v>
      </c>
      <c r="C5" s="1660"/>
      <c r="D5" s="1660"/>
    </row>
    <row r="6" spans="1:4" ht="35.25" customHeight="1">
      <c r="A6" s="1675"/>
      <c r="B6" s="1660"/>
      <c r="C6" s="1660"/>
      <c r="D6" s="1660"/>
    </row>
    <row r="7" spans="1:4" ht="24.95" customHeight="1">
      <c r="A7" s="1675">
        <v>2</v>
      </c>
      <c r="B7" s="1660" t="s">
        <v>2604</v>
      </c>
      <c r="C7" s="1660"/>
      <c r="D7" s="1660"/>
    </row>
    <row r="8" spans="1:4">
      <c r="A8" s="1675"/>
      <c r="B8" s="1660"/>
      <c r="C8" s="1660"/>
      <c r="D8" s="1660"/>
    </row>
    <row r="9" spans="1:4" ht="15" customHeight="1">
      <c r="A9" s="1675">
        <v>3</v>
      </c>
      <c r="B9" s="1677" t="s">
        <v>2553</v>
      </c>
      <c r="C9" s="1677"/>
      <c r="D9" s="1677"/>
    </row>
    <row r="10" spans="1:4">
      <c r="A10" s="1675"/>
      <c r="B10" s="1677"/>
      <c r="C10" s="1677"/>
      <c r="D10" s="1677"/>
    </row>
    <row r="11" spans="1:4">
      <c r="A11" s="1675"/>
      <c r="B11" s="1677"/>
      <c r="C11" s="1677"/>
      <c r="D11" s="1677"/>
    </row>
    <row r="12" spans="1:4">
      <c r="A12" s="1675"/>
      <c r="B12" s="1677"/>
      <c r="C12" s="1677"/>
      <c r="D12" s="1677"/>
    </row>
    <row r="13" spans="1:4" ht="15" customHeight="1">
      <c r="A13" s="1675">
        <v>4</v>
      </c>
      <c r="B13" s="1660" t="s">
        <v>2605</v>
      </c>
      <c r="C13" s="1660"/>
      <c r="D13" s="1660"/>
    </row>
    <row r="14" spans="1:4">
      <c r="A14" s="1675"/>
      <c r="B14" s="1660"/>
      <c r="C14" s="1660"/>
      <c r="D14" s="1660"/>
    </row>
    <row r="15" spans="1:4" ht="15" customHeight="1">
      <c r="A15" s="1675">
        <v>5</v>
      </c>
      <c r="B15" s="1660" t="s">
        <v>2606</v>
      </c>
      <c r="C15" s="1660"/>
      <c r="D15" s="1660"/>
    </row>
    <row r="16" spans="1:4">
      <c r="A16" s="1675"/>
      <c r="B16" s="1660"/>
      <c r="C16" s="1660"/>
      <c r="D16" s="1660"/>
    </row>
    <row r="17" spans="1:4">
      <c r="A17" s="1675"/>
      <c r="B17" s="1660"/>
      <c r="C17" s="1660"/>
      <c r="D17" s="1660"/>
    </row>
    <row r="18" spans="1:4" ht="15" customHeight="1">
      <c r="A18" s="1675">
        <v>6</v>
      </c>
      <c r="B18" s="1660" t="s">
        <v>2607</v>
      </c>
      <c r="C18" s="1660"/>
      <c r="D18" s="1660"/>
    </row>
    <row r="19" spans="1:4">
      <c r="A19" s="1675"/>
      <c r="B19" s="1660"/>
      <c r="C19" s="1660"/>
      <c r="D19" s="1660"/>
    </row>
    <row r="20" spans="1:4">
      <c r="A20" s="1675"/>
      <c r="B20" s="1660"/>
      <c r="C20" s="1660"/>
      <c r="D20" s="1660"/>
    </row>
    <row r="21" spans="1:4">
      <c r="A21" s="1675"/>
      <c r="B21" s="1660"/>
      <c r="C21" s="1660"/>
      <c r="D21" s="1660"/>
    </row>
    <row r="22" spans="1:4">
      <c r="A22" s="1675"/>
      <c r="B22" s="1660"/>
      <c r="C22" s="1660"/>
      <c r="D22" s="1660"/>
    </row>
    <row r="23" spans="1:4" ht="15" customHeight="1">
      <c r="A23" s="1675">
        <v>7</v>
      </c>
      <c r="B23" s="1660" t="s">
        <v>2608</v>
      </c>
      <c r="C23" s="1660"/>
      <c r="D23" s="1660"/>
    </row>
    <row r="24" spans="1:4">
      <c r="A24" s="1675"/>
      <c r="B24" s="1660"/>
      <c r="C24" s="1660"/>
      <c r="D24" s="1660"/>
    </row>
    <row r="25" spans="1:4" ht="15" customHeight="1">
      <c r="A25" s="1675">
        <v>8</v>
      </c>
      <c r="B25" s="1660" t="s">
        <v>2558</v>
      </c>
      <c r="C25" s="1660"/>
      <c r="D25" s="1660"/>
    </row>
    <row r="26" spans="1:4">
      <c r="A26" s="1675"/>
      <c r="B26" s="1660"/>
      <c r="C26" s="1660"/>
      <c r="D26" s="1660"/>
    </row>
  </sheetData>
  <mergeCells count="18">
    <mergeCell ref="A18:A22"/>
    <mergeCell ref="B18:D22"/>
    <mergeCell ref="A23:A24"/>
    <mergeCell ref="B23:D24"/>
    <mergeCell ref="A25:A26"/>
    <mergeCell ref="B25:D26"/>
    <mergeCell ref="A9:A12"/>
    <mergeCell ref="B9:D12"/>
    <mergeCell ref="A13:A14"/>
    <mergeCell ref="B13:D14"/>
    <mergeCell ref="A15:A17"/>
    <mergeCell ref="B15:D17"/>
    <mergeCell ref="A2:D2"/>
    <mergeCell ref="A4:D4"/>
    <mergeCell ref="A5:A6"/>
    <mergeCell ref="B5:D6"/>
    <mergeCell ref="A7:A8"/>
    <mergeCell ref="B7:D8"/>
  </mergeCells>
  <pageMargins left="1.2" right="0.2" top="0.75" bottom="0.75" header="0.3" footer="0.3"/>
  <pageSetup paperSize="5" orientation="landscape" r:id="rId1"/>
</worksheet>
</file>

<file path=xl/worksheets/sheet37.xml><?xml version="1.0" encoding="utf-8"?>
<worksheet xmlns="http://schemas.openxmlformats.org/spreadsheetml/2006/main" xmlns:r="http://schemas.openxmlformats.org/officeDocument/2006/relationships">
  <dimension ref="A1:B221"/>
  <sheetViews>
    <sheetView zoomScale="75" zoomScaleNormal="75" workbookViewId="0">
      <selection activeCell="B10" sqref="B10"/>
    </sheetView>
  </sheetViews>
  <sheetFormatPr defaultColWidth="91" defaultRowHeight="15.75"/>
  <cols>
    <col min="1" max="1" width="8.28515625" style="795" customWidth="1"/>
    <col min="2" max="2" width="91" style="796"/>
    <col min="3" max="16384" width="91" style="762"/>
  </cols>
  <sheetData>
    <row r="1" spans="1:2" ht="16.5" thickBot="1"/>
    <row r="2" spans="1:2" ht="16.5" thickBot="1">
      <c r="A2" s="1678" t="s">
        <v>370</v>
      </c>
      <c r="B2" s="1679"/>
    </row>
    <row r="3" spans="1:2" ht="16.5" thickBot="1"/>
    <row r="4" spans="1:2" ht="32.25" hidden="1" thickBot="1">
      <c r="A4" s="791" t="s">
        <v>2609</v>
      </c>
      <c r="B4" s="792">
        <v>10419250</v>
      </c>
    </row>
    <row r="5" spans="1:2">
      <c r="A5" s="1680" t="s">
        <v>2548</v>
      </c>
      <c r="B5" s="1681"/>
    </row>
    <row r="6" spans="1:2">
      <c r="A6" s="807">
        <v>1</v>
      </c>
      <c r="B6" s="809" t="s">
        <v>2610</v>
      </c>
    </row>
    <row r="7" spans="1:2">
      <c r="A7" s="807">
        <v>2</v>
      </c>
      <c r="B7" s="809" t="s">
        <v>2611</v>
      </c>
    </row>
    <row r="9" spans="1:2">
      <c r="A9" s="1682" t="s">
        <v>2612</v>
      </c>
      <c r="B9" s="1682"/>
    </row>
    <row r="10" spans="1:2">
      <c r="A10" s="784">
        <v>1</v>
      </c>
      <c r="B10" s="777" t="s">
        <v>372</v>
      </c>
    </row>
    <row r="11" spans="1:2" ht="15" customHeight="1">
      <c r="A11" s="1653">
        <v>2</v>
      </c>
      <c r="B11" s="1660" t="s">
        <v>2603</v>
      </c>
    </row>
    <row r="12" spans="1:2">
      <c r="A12" s="1653"/>
      <c r="B12" s="1660"/>
    </row>
    <row r="13" spans="1:2">
      <c r="A13" s="1653">
        <v>3</v>
      </c>
      <c r="B13" s="1684" t="s">
        <v>2604</v>
      </c>
    </row>
    <row r="14" spans="1:2">
      <c r="A14" s="1653"/>
      <c r="B14" s="1684"/>
    </row>
    <row r="15" spans="1:2">
      <c r="A15" s="1653">
        <v>4</v>
      </c>
      <c r="B15" s="1683" t="s">
        <v>2553</v>
      </c>
    </row>
    <row r="16" spans="1:2">
      <c r="A16" s="1653"/>
      <c r="B16" s="1683"/>
    </row>
    <row r="17" spans="1:2">
      <c r="A17" s="1653"/>
      <c r="B17" s="1683"/>
    </row>
    <row r="18" spans="1:2">
      <c r="A18" s="1653"/>
      <c r="B18" s="1683"/>
    </row>
    <row r="19" spans="1:2">
      <c r="A19" s="1653">
        <v>5</v>
      </c>
      <c r="B19" s="1683" t="s">
        <v>2554</v>
      </c>
    </row>
    <row r="20" spans="1:2">
      <c r="A20" s="1653"/>
      <c r="B20" s="1683"/>
    </row>
    <row r="21" spans="1:2">
      <c r="A21" s="1653">
        <v>6</v>
      </c>
      <c r="B21" s="1683" t="s">
        <v>2606</v>
      </c>
    </row>
    <row r="22" spans="1:2">
      <c r="A22" s="1653"/>
      <c r="B22" s="1683"/>
    </row>
    <row r="23" spans="1:2">
      <c r="A23" s="1653"/>
      <c r="B23" s="1683"/>
    </row>
    <row r="24" spans="1:2">
      <c r="A24" s="1653">
        <v>7</v>
      </c>
      <c r="B24" s="1683" t="s">
        <v>2613</v>
      </c>
    </row>
    <row r="25" spans="1:2">
      <c r="A25" s="1653"/>
      <c r="B25" s="1683"/>
    </row>
    <row r="26" spans="1:2">
      <c r="A26" s="1653"/>
      <c r="B26" s="1683"/>
    </row>
    <row r="27" spans="1:2" ht="16.5" customHeight="1">
      <c r="A27" s="1653"/>
      <c r="B27" s="1683"/>
    </row>
    <row r="28" spans="1:2" hidden="1">
      <c r="A28" s="1653"/>
      <c r="B28" s="1683"/>
    </row>
    <row r="29" spans="1:2">
      <c r="A29" s="1653">
        <v>8</v>
      </c>
      <c r="B29" s="1683" t="s">
        <v>2557</v>
      </c>
    </row>
    <row r="30" spans="1:2" ht="5.25" customHeight="1">
      <c r="A30" s="1653"/>
      <c r="B30" s="1683"/>
    </row>
    <row r="31" spans="1:2">
      <c r="A31" s="1653">
        <v>9</v>
      </c>
      <c r="B31" s="1683" t="s">
        <v>2558</v>
      </c>
    </row>
    <row r="32" spans="1:2">
      <c r="A32" s="1653"/>
      <c r="B32" s="1683"/>
    </row>
    <row r="33" spans="1:2">
      <c r="A33" s="1653">
        <v>10</v>
      </c>
      <c r="B33" s="1683" t="s">
        <v>2559</v>
      </c>
    </row>
    <row r="34" spans="1:2">
      <c r="A34" s="1653"/>
      <c r="B34" s="1683"/>
    </row>
    <row r="35" spans="1:2" ht="11.25" customHeight="1">
      <c r="A35" s="1653"/>
      <c r="B35" s="1683"/>
    </row>
    <row r="36" spans="1:2">
      <c r="A36" s="1653">
        <v>11</v>
      </c>
      <c r="B36" s="1683" t="s">
        <v>2560</v>
      </c>
    </row>
    <row r="37" spans="1:2">
      <c r="A37" s="1653"/>
      <c r="B37" s="1683"/>
    </row>
    <row r="38" spans="1:2">
      <c r="A38" s="1653"/>
      <c r="B38" s="1683"/>
    </row>
    <row r="39" spans="1:2">
      <c r="A39" s="1653"/>
      <c r="B39" s="1683"/>
    </row>
    <row r="40" spans="1:2">
      <c r="A40" s="1653"/>
      <c r="B40" s="1683"/>
    </row>
    <row r="41" spans="1:2">
      <c r="A41" s="1653">
        <v>12</v>
      </c>
      <c r="B41" s="1683" t="s">
        <v>2561</v>
      </c>
    </row>
    <row r="42" spans="1:2">
      <c r="A42" s="1653"/>
      <c r="B42" s="1683"/>
    </row>
    <row r="43" spans="1:2">
      <c r="A43" s="1653"/>
      <c r="B43" s="1683"/>
    </row>
    <row r="44" spans="1:2">
      <c r="A44" s="1653">
        <v>13</v>
      </c>
      <c r="B44" s="1683" t="s">
        <v>2614</v>
      </c>
    </row>
    <row r="45" spans="1:2">
      <c r="A45" s="1653"/>
      <c r="B45" s="1683"/>
    </row>
    <row r="46" spans="1:2">
      <c r="A46" s="1653"/>
      <c r="B46" s="1683"/>
    </row>
    <row r="47" spans="1:2">
      <c r="A47" s="1653">
        <v>14</v>
      </c>
      <c r="B47" s="1683" t="s">
        <v>2563</v>
      </c>
    </row>
    <row r="48" spans="1:2">
      <c r="A48" s="1653"/>
      <c r="B48" s="1683"/>
    </row>
    <row r="49" spans="1:2">
      <c r="A49" s="1653"/>
      <c r="B49" s="1683"/>
    </row>
    <row r="50" spans="1:2">
      <c r="A50" s="1653">
        <v>15</v>
      </c>
      <c r="B50" s="1683" t="s">
        <v>2615</v>
      </c>
    </row>
    <row r="51" spans="1:2">
      <c r="A51" s="1653"/>
      <c r="B51" s="1683"/>
    </row>
    <row r="52" spans="1:2">
      <c r="A52" s="1653"/>
      <c r="B52" s="1683"/>
    </row>
    <row r="53" spans="1:2">
      <c r="A53" s="1653">
        <v>16</v>
      </c>
      <c r="B53" s="1683" t="s">
        <v>2565</v>
      </c>
    </row>
    <row r="54" spans="1:2">
      <c r="A54" s="1653"/>
      <c r="B54" s="1683"/>
    </row>
    <row r="55" spans="1:2">
      <c r="A55" s="1653"/>
      <c r="B55" s="1683"/>
    </row>
    <row r="56" spans="1:2">
      <c r="A56" s="1653">
        <v>17</v>
      </c>
      <c r="B56" s="1685" t="s">
        <v>2566</v>
      </c>
    </row>
    <row r="57" spans="1:2">
      <c r="A57" s="1653"/>
      <c r="B57" s="1685"/>
    </row>
    <row r="58" spans="1:2">
      <c r="A58" s="1653"/>
      <c r="B58" s="1685"/>
    </row>
    <row r="59" spans="1:2">
      <c r="A59" s="1653">
        <v>18</v>
      </c>
      <c r="B59" s="1660" t="s">
        <v>2567</v>
      </c>
    </row>
    <row r="60" spans="1:2">
      <c r="A60" s="1653"/>
      <c r="B60" s="1660"/>
    </row>
    <row r="61" spans="1:2">
      <c r="A61" s="1653"/>
      <c r="B61" s="1660"/>
    </row>
    <row r="62" spans="1:2">
      <c r="A62" s="1653"/>
      <c r="B62" s="1660"/>
    </row>
    <row r="63" spans="1:2">
      <c r="A63" s="1653">
        <v>19</v>
      </c>
      <c r="B63" s="1683" t="s">
        <v>2568</v>
      </c>
    </row>
    <row r="64" spans="1:2">
      <c r="A64" s="1653"/>
      <c r="B64" s="1683"/>
    </row>
    <row r="65" spans="1:2">
      <c r="A65" s="1653"/>
      <c r="B65" s="1683"/>
    </row>
    <row r="66" spans="1:2">
      <c r="A66" s="1653"/>
      <c r="B66" s="1683"/>
    </row>
    <row r="67" spans="1:2">
      <c r="A67" s="1653">
        <v>20</v>
      </c>
      <c r="B67" s="1683" t="s">
        <v>2569</v>
      </c>
    </row>
    <row r="68" spans="1:2">
      <c r="A68" s="1653"/>
      <c r="B68" s="1683"/>
    </row>
    <row r="69" spans="1:2">
      <c r="A69" s="1653"/>
      <c r="B69" s="1683"/>
    </row>
    <row r="70" spans="1:2">
      <c r="A70" s="784">
        <v>21</v>
      </c>
      <c r="B70" s="797" t="s">
        <v>395</v>
      </c>
    </row>
    <row r="71" spans="1:2">
      <c r="A71" s="784">
        <v>22</v>
      </c>
      <c r="B71" s="798" t="s">
        <v>397</v>
      </c>
    </row>
    <row r="72" spans="1:2" ht="31.5">
      <c r="A72" s="784">
        <v>23</v>
      </c>
      <c r="B72" s="776" t="s">
        <v>2616</v>
      </c>
    </row>
    <row r="74" spans="1:2">
      <c r="A74" s="1686" t="s">
        <v>2617</v>
      </c>
      <c r="B74" s="1687"/>
    </row>
    <row r="76" spans="1:2">
      <c r="A76" s="1653">
        <v>1</v>
      </c>
      <c r="B76" s="1683" t="s">
        <v>2570</v>
      </c>
    </row>
    <row r="77" spans="1:2">
      <c r="A77" s="1653"/>
      <c r="B77" s="1683"/>
    </row>
    <row r="78" spans="1:2">
      <c r="A78" s="1653"/>
      <c r="B78" s="1683"/>
    </row>
    <row r="79" spans="1:2">
      <c r="A79" s="1653">
        <v>2</v>
      </c>
      <c r="B79" s="1683" t="s">
        <v>2571</v>
      </c>
    </row>
    <row r="80" spans="1:2">
      <c r="A80" s="1653"/>
      <c r="B80" s="1683"/>
    </row>
    <row r="81" spans="1:2">
      <c r="A81" s="1653"/>
      <c r="B81" s="1683"/>
    </row>
    <row r="82" spans="1:2">
      <c r="A82" s="1653">
        <v>3</v>
      </c>
      <c r="B82" s="1683" t="s">
        <v>2572</v>
      </c>
    </row>
    <row r="83" spans="1:2">
      <c r="A83" s="1653"/>
      <c r="B83" s="1683"/>
    </row>
    <row r="84" spans="1:2">
      <c r="A84" s="1653"/>
      <c r="B84" s="1683"/>
    </row>
    <row r="85" spans="1:2">
      <c r="A85" s="1653">
        <v>4</v>
      </c>
      <c r="B85" s="1683" t="s">
        <v>2573</v>
      </c>
    </row>
    <row r="86" spans="1:2">
      <c r="A86" s="1653"/>
      <c r="B86" s="1683"/>
    </row>
    <row r="87" spans="1:2">
      <c r="A87" s="1653"/>
      <c r="B87" s="1683"/>
    </row>
    <row r="88" spans="1:2">
      <c r="A88" s="1653">
        <v>5</v>
      </c>
      <c r="B88" s="1683" t="s">
        <v>2433</v>
      </c>
    </row>
    <row r="89" spans="1:2">
      <c r="A89" s="1653"/>
      <c r="B89" s="1683"/>
    </row>
    <row r="90" spans="1:2">
      <c r="A90" s="1653"/>
      <c r="B90" s="1683"/>
    </row>
    <row r="91" spans="1:2">
      <c r="A91" s="1653"/>
      <c r="B91" s="1683"/>
    </row>
    <row r="92" spans="1:2">
      <c r="A92" s="1653"/>
      <c r="B92" s="1683"/>
    </row>
    <row r="93" spans="1:2">
      <c r="A93" s="1653">
        <v>6</v>
      </c>
      <c r="B93" s="1683" t="s">
        <v>2575</v>
      </c>
    </row>
    <row r="94" spans="1:2">
      <c r="A94" s="1653"/>
      <c r="B94" s="1683"/>
    </row>
    <row r="95" spans="1:2">
      <c r="A95" s="1653"/>
      <c r="B95" s="1683"/>
    </row>
    <row r="96" spans="1:2">
      <c r="A96" s="1653"/>
      <c r="B96" s="1683"/>
    </row>
    <row r="97" spans="1:2">
      <c r="A97" s="1653"/>
      <c r="B97" s="1683"/>
    </row>
    <row r="98" spans="1:2">
      <c r="A98" s="1653"/>
      <c r="B98" s="1683"/>
    </row>
    <row r="99" spans="1:2">
      <c r="A99" s="1653"/>
      <c r="B99" s="1683"/>
    </row>
    <row r="100" spans="1:2">
      <c r="A100" s="1653">
        <v>7</v>
      </c>
      <c r="B100" s="1683" t="s">
        <v>2576</v>
      </c>
    </row>
    <row r="101" spans="1:2">
      <c r="A101" s="1653"/>
      <c r="B101" s="1683"/>
    </row>
    <row r="102" spans="1:2">
      <c r="A102" s="1653"/>
      <c r="B102" s="1683"/>
    </row>
    <row r="103" spans="1:2">
      <c r="A103" s="1653">
        <v>8</v>
      </c>
      <c r="B103" s="1685" t="s">
        <v>2577</v>
      </c>
    </row>
    <row r="104" spans="1:2">
      <c r="A104" s="1653"/>
      <c r="B104" s="1685"/>
    </row>
    <row r="105" spans="1:2">
      <c r="A105" s="1653"/>
      <c r="B105" s="1685"/>
    </row>
    <row r="106" spans="1:2">
      <c r="A106" s="1653"/>
      <c r="B106" s="1685"/>
    </row>
    <row r="107" spans="1:2" ht="47.25">
      <c r="A107" s="784">
        <v>9</v>
      </c>
      <c r="B107" s="775" t="s">
        <v>2578</v>
      </c>
    </row>
    <row r="108" spans="1:2" ht="63">
      <c r="A108" s="784">
        <v>10</v>
      </c>
      <c r="B108" s="776" t="s">
        <v>2618</v>
      </c>
    </row>
    <row r="109" spans="1:2" ht="47.25">
      <c r="A109" s="784">
        <v>11</v>
      </c>
      <c r="B109" s="775" t="s">
        <v>2600</v>
      </c>
    </row>
    <row r="110" spans="1:2" ht="31.5">
      <c r="A110" s="784">
        <v>12</v>
      </c>
      <c r="B110" s="776" t="s">
        <v>2601</v>
      </c>
    </row>
    <row r="111" spans="1:2" ht="47.25">
      <c r="A111" s="784">
        <v>13</v>
      </c>
      <c r="B111" s="775" t="s">
        <v>2619</v>
      </c>
    </row>
    <row r="112" spans="1:2" ht="47.25">
      <c r="A112" s="784">
        <v>14</v>
      </c>
      <c r="B112" s="776" t="s">
        <v>2602</v>
      </c>
    </row>
    <row r="114" spans="1:2" ht="16.5" thickBot="1"/>
    <row r="115" spans="1:2" ht="32.25" thickBot="1">
      <c r="A115" s="793" t="s">
        <v>2609</v>
      </c>
      <c r="B115" s="794">
        <v>10481112</v>
      </c>
    </row>
    <row r="116" spans="1:2">
      <c r="A116" s="1680" t="s">
        <v>2548</v>
      </c>
      <c r="B116" s="1681"/>
    </row>
    <row r="117" spans="1:2">
      <c r="A117" s="1692" t="s">
        <v>2620</v>
      </c>
      <c r="B117" s="1693"/>
    </row>
    <row r="118" spans="1:2">
      <c r="A118" s="1688" t="s">
        <v>2621</v>
      </c>
      <c r="B118" s="1689"/>
    </row>
    <row r="120" spans="1:2">
      <c r="A120" s="1690" t="s">
        <v>2550</v>
      </c>
      <c r="B120" s="1691"/>
    </row>
    <row r="121" spans="1:2">
      <c r="A121" s="784">
        <v>1</v>
      </c>
      <c r="B121" s="777" t="s">
        <v>372</v>
      </c>
    </row>
    <row r="122" spans="1:2">
      <c r="A122" s="1653">
        <v>2</v>
      </c>
      <c r="B122" s="1660" t="s">
        <v>2622</v>
      </c>
    </row>
    <row r="123" spans="1:2">
      <c r="A123" s="1653"/>
      <c r="B123" s="1660"/>
    </row>
    <row r="124" spans="1:2">
      <c r="A124" s="1653">
        <v>3</v>
      </c>
      <c r="B124" s="1684" t="s">
        <v>2623</v>
      </c>
    </row>
    <row r="125" spans="1:2">
      <c r="A125" s="1653"/>
      <c r="B125" s="1684"/>
    </row>
    <row r="126" spans="1:2">
      <c r="A126" s="1653">
        <v>4</v>
      </c>
      <c r="B126" s="1683" t="s">
        <v>2624</v>
      </c>
    </row>
    <row r="127" spans="1:2">
      <c r="A127" s="1653"/>
      <c r="B127" s="1683"/>
    </row>
    <row r="128" spans="1:2">
      <c r="A128" s="1653"/>
      <c r="B128" s="1683"/>
    </row>
    <row r="129" spans="1:2">
      <c r="A129" s="1653"/>
      <c r="B129" s="1683"/>
    </row>
    <row r="130" spans="1:2">
      <c r="A130" s="1653">
        <v>5</v>
      </c>
      <c r="B130" s="1683" t="s">
        <v>2413</v>
      </c>
    </row>
    <row r="131" spans="1:2">
      <c r="A131" s="1653"/>
      <c r="B131" s="1683"/>
    </row>
    <row r="132" spans="1:2">
      <c r="A132" s="1653">
        <v>6</v>
      </c>
      <c r="B132" s="1683" t="s">
        <v>2625</v>
      </c>
    </row>
    <row r="133" spans="1:2">
      <c r="A133" s="1653"/>
      <c r="B133" s="1683"/>
    </row>
    <row r="134" spans="1:2">
      <c r="A134" s="1653"/>
      <c r="B134" s="1683"/>
    </row>
    <row r="135" spans="1:2">
      <c r="A135" s="1653">
        <v>7</v>
      </c>
      <c r="B135" s="1683" t="s">
        <v>2613</v>
      </c>
    </row>
    <row r="136" spans="1:2">
      <c r="A136" s="1653"/>
      <c r="B136" s="1683"/>
    </row>
    <row r="137" spans="1:2">
      <c r="A137" s="1653"/>
      <c r="B137" s="1683"/>
    </row>
    <row r="138" spans="1:2">
      <c r="A138" s="1653"/>
      <c r="B138" s="1683"/>
    </row>
    <row r="139" spans="1:2">
      <c r="A139" s="1653"/>
      <c r="B139" s="1683"/>
    </row>
    <row r="140" spans="1:2">
      <c r="A140" s="1653">
        <v>8</v>
      </c>
      <c r="B140" s="1683" t="s">
        <v>2557</v>
      </c>
    </row>
    <row r="141" spans="1:2">
      <c r="A141" s="1653"/>
      <c r="B141" s="1683"/>
    </row>
    <row r="142" spans="1:2">
      <c r="A142" s="1653">
        <v>9</v>
      </c>
      <c r="B142" s="1683" t="s">
        <v>2626</v>
      </c>
    </row>
    <row r="143" spans="1:2">
      <c r="A143" s="1653"/>
      <c r="B143" s="1683"/>
    </row>
    <row r="144" spans="1:2">
      <c r="A144" s="1653">
        <v>10</v>
      </c>
      <c r="B144" s="1683" t="s">
        <v>2627</v>
      </c>
    </row>
    <row r="145" spans="1:2">
      <c r="A145" s="1653"/>
      <c r="B145" s="1683"/>
    </row>
    <row r="146" spans="1:2">
      <c r="A146" s="1653"/>
      <c r="B146" s="1683"/>
    </row>
    <row r="147" spans="1:2">
      <c r="A147" s="1653">
        <v>11</v>
      </c>
      <c r="B147" s="1683" t="s">
        <v>2560</v>
      </c>
    </row>
    <row r="148" spans="1:2">
      <c r="A148" s="1653"/>
      <c r="B148" s="1683"/>
    </row>
    <row r="149" spans="1:2">
      <c r="A149" s="1653"/>
      <c r="B149" s="1683"/>
    </row>
    <row r="150" spans="1:2">
      <c r="A150" s="1653"/>
      <c r="B150" s="1683"/>
    </row>
    <row r="151" spans="1:2">
      <c r="A151" s="1653"/>
      <c r="B151" s="1683"/>
    </row>
    <row r="152" spans="1:2">
      <c r="A152" s="1653">
        <v>12</v>
      </c>
      <c r="B152" s="1683" t="s">
        <v>2561</v>
      </c>
    </row>
    <row r="153" spans="1:2">
      <c r="A153" s="1653"/>
      <c r="B153" s="1683"/>
    </row>
    <row r="154" spans="1:2">
      <c r="A154" s="1653"/>
      <c r="B154" s="1683"/>
    </row>
    <row r="155" spans="1:2">
      <c r="A155" s="1653">
        <v>13</v>
      </c>
      <c r="B155" s="1683" t="s">
        <v>2628</v>
      </c>
    </row>
    <row r="156" spans="1:2">
      <c r="A156" s="1653"/>
      <c r="B156" s="1683"/>
    </row>
    <row r="157" spans="1:2">
      <c r="A157" s="1653"/>
      <c r="B157" s="1683"/>
    </row>
    <row r="158" spans="1:2">
      <c r="A158" s="1653">
        <v>14</v>
      </c>
      <c r="B158" s="1683" t="s">
        <v>2563</v>
      </c>
    </row>
    <row r="159" spans="1:2">
      <c r="A159" s="1653"/>
      <c r="B159" s="1683"/>
    </row>
    <row r="160" spans="1:2">
      <c r="A160" s="1653"/>
      <c r="B160" s="1683"/>
    </row>
    <row r="161" spans="1:2">
      <c r="A161" s="1653">
        <v>15</v>
      </c>
      <c r="B161" s="1683" t="s">
        <v>2629</v>
      </c>
    </row>
    <row r="162" spans="1:2">
      <c r="A162" s="1653"/>
      <c r="B162" s="1683"/>
    </row>
    <row r="163" spans="1:2">
      <c r="A163" s="1653"/>
      <c r="B163" s="1683"/>
    </row>
    <row r="164" spans="1:2">
      <c r="A164" s="1653">
        <v>16</v>
      </c>
      <c r="B164" s="1683" t="s">
        <v>2630</v>
      </c>
    </row>
    <row r="165" spans="1:2">
      <c r="A165" s="1653"/>
      <c r="B165" s="1683"/>
    </row>
    <row r="166" spans="1:2">
      <c r="A166" s="1653"/>
      <c r="B166" s="1683"/>
    </row>
    <row r="167" spans="1:2">
      <c r="A167" s="1653">
        <v>17</v>
      </c>
      <c r="B167" s="1685" t="s">
        <v>2566</v>
      </c>
    </row>
    <row r="168" spans="1:2">
      <c r="A168" s="1653"/>
      <c r="B168" s="1685"/>
    </row>
    <row r="169" spans="1:2">
      <c r="A169" s="1653"/>
      <c r="B169" s="1685"/>
    </row>
    <row r="170" spans="1:2">
      <c r="A170" s="1653">
        <v>18</v>
      </c>
      <c r="B170" s="1660" t="s">
        <v>2567</v>
      </c>
    </row>
    <row r="171" spans="1:2">
      <c r="A171" s="1653"/>
      <c r="B171" s="1660"/>
    </row>
    <row r="172" spans="1:2">
      <c r="A172" s="1653"/>
      <c r="B172" s="1660"/>
    </row>
    <row r="173" spans="1:2">
      <c r="A173" s="1653"/>
      <c r="B173" s="1660"/>
    </row>
    <row r="174" spans="1:2">
      <c r="A174" s="1653">
        <v>19</v>
      </c>
      <c r="B174" s="1683" t="s">
        <v>2568</v>
      </c>
    </row>
    <row r="175" spans="1:2">
      <c r="A175" s="1653"/>
      <c r="B175" s="1683"/>
    </row>
    <row r="176" spans="1:2">
      <c r="A176" s="1653"/>
      <c r="B176" s="1683"/>
    </row>
    <row r="177" spans="1:2">
      <c r="A177" s="1653"/>
      <c r="B177" s="1683"/>
    </row>
    <row r="178" spans="1:2">
      <c r="A178" s="1653">
        <v>20</v>
      </c>
      <c r="B178" s="1683" t="s">
        <v>2569</v>
      </c>
    </row>
    <row r="179" spans="1:2">
      <c r="A179" s="1653"/>
      <c r="B179" s="1683"/>
    </row>
    <row r="180" spans="1:2">
      <c r="A180" s="1653"/>
      <c r="B180" s="1683"/>
    </row>
    <row r="182" spans="1:2">
      <c r="B182" s="799" t="s">
        <v>2617</v>
      </c>
    </row>
    <row r="184" spans="1:2">
      <c r="A184" s="1653">
        <v>1</v>
      </c>
      <c r="B184" s="1683" t="s">
        <v>2570</v>
      </c>
    </row>
    <row r="185" spans="1:2">
      <c r="A185" s="1653"/>
      <c r="B185" s="1683"/>
    </row>
    <row r="186" spans="1:2" ht="7.5" customHeight="1">
      <c r="A186" s="1653"/>
      <c r="B186" s="1683"/>
    </row>
    <row r="187" spans="1:2">
      <c r="A187" s="1653">
        <v>2</v>
      </c>
      <c r="B187" s="1683" t="s">
        <v>2571</v>
      </c>
    </row>
    <row r="188" spans="1:2">
      <c r="A188" s="1653"/>
      <c r="B188" s="1683"/>
    </row>
    <row r="189" spans="1:2" ht="5.25" customHeight="1">
      <c r="A189" s="1653"/>
      <c r="B189" s="1683"/>
    </row>
    <row r="190" spans="1:2">
      <c r="A190" s="1653">
        <v>3</v>
      </c>
      <c r="B190" s="1683" t="s">
        <v>2572</v>
      </c>
    </row>
    <row r="191" spans="1:2">
      <c r="A191" s="1653"/>
      <c r="B191" s="1683"/>
    </row>
    <row r="192" spans="1:2" ht="3" customHeight="1">
      <c r="A192" s="1653"/>
      <c r="B192" s="1683"/>
    </row>
    <row r="193" spans="1:2">
      <c r="A193" s="1653">
        <v>4</v>
      </c>
      <c r="B193" s="1683" t="s">
        <v>2573</v>
      </c>
    </row>
    <row r="194" spans="1:2">
      <c r="A194" s="1653"/>
      <c r="B194" s="1683"/>
    </row>
    <row r="195" spans="1:2">
      <c r="A195" s="1653"/>
      <c r="B195" s="1683"/>
    </row>
    <row r="196" spans="1:2">
      <c r="A196" s="1653">
        <v>5</v>
      </c>
      <c r="B196" s="1683" t="s">
        <v>2574</v>
      </c>
    </row>
    <row r="197" spans="1:2">
      <c r="A197" s="1653"/>
      <c r="B197" s="1683"/>
    </row>
    <row r="198" spans="1:2">
      <c r="A198" s="1653"/>
      <c r="B198" s="1683"/>
    </row>
    <row r="199" spans="1:2">
      <c r="A199" s="1653"/>
      <c r="B199" s="1683"/>
    </row>
    <row r="200" spans="1:2">
      <c r="A200" s="1653"/>
      <c r="B200" s="1683"/>
    </row>
    <row r="201" spans="1:2">
      <c r="A201" s="1653">
        <v>6</v>
      </c>
      <c r="B201" s="1683" t="s">
        <v>2631</v>
      </c>
    </row>
    <row r="202" spans="1:2">
      <c r="A202" s="1653"/>
      <c r="B202" s="1683"/>
    </row>
    <row r="203" spans="1:2">
      <c r="A203" s="1653"/>
      <c r="B203" s="1683"/>
    </row>
    <row r="204" spans="1:2">
      <c r="A204" s="1653"/>
      <c r="B204" s="1683"/>
    </row>
    <row r="205" spans="1:2">
      <c r="A205" s="1653"/>
      <c r="B205" s="1683"/>
    </row>
    <row r="206" spans="1:2">
      <c r="A206" s="1653"/>
      <c r="B206" s="1683"/>
    </row>
    <row r="207" spans="1:2">
      <c r="A207" s="1653"/>
      <c r="B207" s="1683"/>
    </row>
    <row r="208" spans="1:2">
      <c r="A208" s="1653">
        <v>7</v>
      </c>
      <c r="B208" s="1683" t="s">
        <v>2576</v>
      </c>
    </row>
    <row r="209" spans="1:2">
      <c r="A209" s="1653"/>
      <c r="B209" s="1683"/>
    </row>
    <row r="210" spans="1:2">
      <c r="A210" s="1653"/>
      <c r="B210" s="1683"/>
    </row>
    <row r="211" spans="1:2">
      <c r="A211" s="1653">
        <v>8</v>
      </c>
      <c r="B211" s="1685" t="s">
        <v>2436</v>
      </c>
    </row>
    <row r="212" spans="1:2">
      <c r="A212" s="1653"/>
      <c r="B212" s="1685"/>
    </row>
    <row r="213" spans="1:2">
      <c r="A213" s="1653"/>
      <c r="B213" s="1685"/>
    </row>
    <row r="214" spans="1:2">
      <c r="A214" s="1653"/>
      <c r="B214" s="1685"/>
    </row>
    <row r="215" spans="1:2" ht="47.25">
      <c r="A215" s="784">
        <v>9</v>
      </c>
      <c r="B215" s="775" t="s">
        <v>2632</v>
      </c>
    </row>
    <row r="216" spans="1:2" ht="63">
      <c r="A216" s="784">
        <v>10</v>
      </c>
      <c r="B216" s="776" t="s">
        <v>2633</v>
      </c>
    </row>
    <row r="217" spans="1:2" ht="47.25">
      <c r="A217" s="784">
        <v>11</v>
      </c>
      <c r="B217" s="775" t="s">
        <v>2634</v>
      </c>
    </row>
    <row r="218" spans="1:2" ht="47.25">
      <c r="A218" s="784">
        <v>12</v>
      </c>
      <c r="B218" s="776" t="s">
        <v>2440</v>
      </c>
    </row>
    <row r="219" spans="1:2" ht="47.25">
      <c r="A219" s="784">
        <v>13</v>
      </c>
      <c r="B219" s="775" t="s">
        <v>2635</v>
      </c>
    </row>
    <row r="220" spans="1:2" ht="47.25">
      <c r="A220" s="784">
        <v>14</v>
      </c>
      <c r="B220" s="776" t="s">
        <v>2636</v>
      </c>
    </row>
    <row r="221" spans="1:2" ht="31.5">
      <c r="A221" s="784">
        <v>15</v>
      </c>
      <c r="B221" s="776" t="s">
        <v>2616</v>
      </c>
    </row>
  </sheetData>
  <mergeCells count="116">
    <mergeCell ref="A211:A214"/>
    <mergeCell ref="B211:B214"/>
    <mergeCell ref="A196:A200"/>
    <mergeCell ref="B196:B200"/>
    <mergeCell ref="A201:A207"/>
    <mergeCell ref="B201:B207"/>
    <mergeCell ref="A208:A210"/>
    <mergeCell ref="B208:B210"/>
    <mergeCell ref="A187:A189"/>
    <mergeCell ref="B187:B189"/>
    <mergeCell ref="A190:A192"/>
    <mergeCell ref="B190:B192"/>
    <mergeCell ref="A193:A195"/>
    <mergeCell ref="B193:B195"/>
    <mergeCell ref="A174:A177"/>
    <mergeCell ref="B174:B177"/>
    <mergeCell ref="A178:A180"/>
    <mergeCell ref="B178:B180"/>
    <mergeCell ref="A184:A186"/>
    <mergeCell ref="B184:B186"/>
    <mergeCell ref="A164:A166"/>
    <mergeCell ref="B164:B166"/>
    <mergeCell ref="A167:A169"/>
    <mergeCell ref="B167:B169"/>
    <mergeCell ref="A170:A173"/>
    <mergeCell ref="B170:B173"/>
    <mergeCell ref="A155:A157"/>
    <mergeCell ref="B155:B157"/>
    <mergeCell ref="A158:A160"/>
    <mergeCell ref="B158:B160"/>
    <mergeCell ref="A161:A163"/>
    <mergeCell ref="B161:B163"/>
    <mergeCell ref="A144:A146"/>
    <mergeCell ref="B144:B146"/>
    <mergeCell ref="A147:A151"/>
    <mergeCell ref="B147:B151"/>
    <mergeCell ref="A152:A154"/>
    <mergeCell ref="B152:B154"/>
    <mergeCell ref="A135:A139"/>
    <mergeCell ref="B135:B139"/>
    <mergeCell ref="A140:A141"/>
    <mergeCell ref="B140:B141"/>
    <mergeCell ref="A142:A143"/>
    <mergeCell ref="B142:B143"/>
    <mergeCell ref="A126:A129"/>
    <mergeCell ref="B126:B129"/>
    <mergeCell ref="A130:A131"/>
    <mergeCell ref="B130:B131"/>
    <mergeCell ref="A132:A134"/>
    <mergeCell ref="B132:B134"/>
    <mergeCell ref="A118:B118"/>
    <mergeCell ref="A120:B120"/>
    <mergeCell ref="A122:A123"/>
    <mergeCell ref="B122:B123"/>
    <mergeCell ref="A124:A125"/>
    <mergeCell ref="B124:B125"/>
    <mergeCell ref="A100:A102"/>
    <mergeCell ref="B100:B102"/>
    <mergeCell ref="A103:A106"/>
    <mergeCell ref="B103:B106"/>
    <mergeCell ref="A116:B116"/>
    <mergeCell ref="A117:B117"/>
    <mergeCell ref="A85:A87"/>
    <mergeCell ref="B85:B87"/>
    <mergeCell ref="A88:A92"/>
    <mergeCell ref="B88:B92"/>
    <mergeCell ref="A93:A99"/>
    <mergeCell ref="B93:B99"/>
    <mergeCell ref="A74:B74"/>
    <mergeCell ref="A76:A78"/>
    <mergeCell ref="B76:B78"/>
    <mergeCell ref="A79:A81"/>
    <mergeCell ref="B79:B81"/>
    <mergeCell ref="A82:A84"/>
    <mergeCell ref="B82:B84"/>
    <mergeCell ref="A59:A62"/>
    <mergeCell ref="B59:B62"/>
    <mergeCell ref="A63:A66"/>
    <mergeCell ref="B63:B66"/>
    <mergeCell ref="A67:A69"/>
    <mergeCell ref="B67:B69"/>
    <mergeCell ref="A50:A52"/>
    <mergeCell ref="B50:B52"/>
    <mergeCell ref="A53:A55"/>
    <mergeCell ref="B53:B55"/>
    <mergeCell ref="A56:A58"/>
    <mergeCell ref="B56:B58"/>
    <mergeCell ref="A44:A46"/>
    <mergeCell ref="B44:B46"/>
    <mergeCell ref="A47:A49"/>
    <mergeCell ref="B47:B49"/>
    <mergeCell ref="A31:A32"/>
    <mergeCell ref="B31:B32"/>
    <mergeCell ref="A33:A35"/>
    <mergeCell ref="B33:B35"/>
    <mergeCell ref="A36:A40"/>
    <mergeCell ref="B36:B40"/>
    <mergeCell ref="A29:A30"/>
    <mergeCell ref="B29:B30"/>
    <mergeCell ref="A13:A14"/>
    <mergeCell ref="B13:B14"/>
    <mergeCell ref="A15:A18"/>
    <mergeCell ref="B15:B18"/>
    <mergeCell ref="A19:A20"/>
    <mergeCell ref="B19:B20"/>
    <mergeCell ref="A41:A43"/>
    <mergeCell ref="B41:B43"/>
    <mergeCell ref="A2:B2"/>
    <mergeCell ref="A5:B5"/>
    <mergeCell ref="A9:B9"/>
    <mergeCell ref="A11:A12"/>
    <mergeCell ref="B11:B12"/>
    <mergeCell ref="A21:A23"/>
    <mergeCell ref="B21:B23"/>
    <mergeCell ref="A24:A28"/>
    <mergeCell ref="B24:B28"/>
  </mergeCells>
  <pageMargins left="1.2" right="0.2" top="0.75" bottom="0.56000000000000005" header="0.3" footer="0.3"/>
  <pageSetup paperSize="5" orientation="landscape" r:id="rId1"/>
</worksheet>
</file>

<file path=xl/worksheets/sheet38.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E375"/>
  <sheetViews>
    <sheetView topLeftCell="A306" workbookViewId="0">
      <selection activeCell="F321" sqref="F321"/>
    </sheetView>
  </sheetViews>
  <sheetFormatPr defaultRowHeight="15"/>
  <cols>
    <col min="1" max="1" width="21.140625" customWidth="1"/>
    <col min="2" max="2" width="33.7109375" customWidth="1"/>
    <col min="3" max="3" width="35.42578125" style="144" customWidth="1"/>
    <col min="4" max="4" width="11" customWidth="1"/>
    <col min="5" max="5" width="3.42578125" hidden="1" customWidth="1"/>
  </cols>
  <sheetData>
    <row r="1" spans="1:5" ht="23.25">
      <c r="A1" s="1433" t="s">
        <v>2379</v>
      </c>
      <c r="B1" s="1433"/>
      <c r="C1" s="1433"/>
      <c r="D1" s="1433"/>
      <c r="E1" s="1433"/>
    </row>
    <row r="2" spans="1:5">
      <c r="A2" s="510"/>
      <c r="B2" s="510"/>
      <c r="C2" s="538"/>
      <c r="D2" s="510"/>
    </row>
    <row r="3" spans="1:5">
      <c r="A3" s="499" t="s">
        <v>2406</v>
      </c>
      <c r="B3" s="499" t="s">
        <v>1689</v>
      </c>
      <c r="C3" s="499" t="s">
        <v>1835</v>
      </c>
      <c r="D3" s="499" t="s">
        <v>1856</v>
      </c>
      <c r="E3" s="500"/>
    </row>
    <row r="4" spans="1:5" ht="90" hidden="1" customHeight="1">
      <c r="A4" s="503" t="s">
        <v>1690</v>
      </c>
      <c r="B4" s="503"/>
      <c r="C4" s="503" t="s">
        <v>1836</v>
      </c>
      <c r="D4" s="503" t="s">
        <v>1857</v>
      </c>
      <c r="E4" s="502" t="s">
        <v>1830</v>
      </c>
    </row>
    <row r="5" spans="1:5">
      <c r="A5" s="521" t="s">
        <v>1858</v>
      </c>
      <c r="B5" s="539" t="s">
        <v>1859</v>
      </c>
      <c r="C5" s="539" t="s">
        <v>1860</v>
      </c>
      <c r="D5" s="521">
        <v>1</v>
      </c>
      <c r="E5" s="526">
        <v>4.5</v>
      </c>
    </row>
    <row r="6" spans="1:5">
      <c r="A6" s="521" t="s">
        <v>1858</v>
      </c>
      <c r="B6" s="539" t="s">
        <v>1861</v>
      </c>
      <c r="C6" s="539" t="s">
        <v>1862</v>
      </c>
      <c r="D6" s="521">
        <v>1</v>
      </c>
      <c r="E6" s="526">
        <v>5.25</v>
      </c>
    </row>
    <row r="7" spans="1:5">
      <c r="A7" s="521" t="s">
        <v>1858</v>
      </c>
      <c r="B7" s="539" t="s">
        <v>1859</v>
      </c>
      <c r="C7" s="539" t="s">
        <v>1863</v>
      </c>
      <c r="D7" s="521">
        <v>1</v>
      </c>
      <c r="E7" s="526">
        <v>6.5</v>
      </c>
    </row>
    <row r="8" spans="1:5">
      <c r="A8" s="521" t="s">
        <v>1858</v>
      </c>
      <c r="B8" s="539" t="s">
        <v>1859</v>
      </c>
      <c r="C8" s="539" t="s">
        <v>1864</v>
      </c>
      <c r="D8" s="521">
        <v>1</v>
      </c>
      <c r="E8" s="526">
        <v>8.84</v>
      </c>
    </row>
    <row r="9" spans="1:5">
      <c r="A9" s="521" t="s">
        <v>1858</v>
      </c>
      <c r="B9" s="539" t="s">
        <v>1859</v>
      </c>
      <c r="C9" s="539" t="s">
        <v>1865</v>
      </c>
      <c r="D9" s="521">
        <v>1</v>
      </c>
      <c r="E9" s="526">
        <v>15</v>
      </c>
    </row>
    <row r="10" spans="1:5">
      <c r="A10" s="521" t="s">
        <v>1858</v>
      </c>
      <c r="B10" s="539" t="s">
        <v>1859</v>
      </c>
      <c r="C10" s="539" t="s">
        <v>1866</v>
      </c>
      <c r="D10" s="521">
        <v>2</v>
      </c>
      <c r="E10" s="526">
        <v>15</v>
      </c>
    </row>
    <row r="11" spans="1:5">
      <c r="A11" s="521" t="s">
        <v>1858</v>
      </c>
      <c r="B11" s="539" t="s">
        <v>1834</v>
      </c>
      <c r="C11" s="539" t="s">
        <v>1867</v>
      </c>
      <c r="D11" s="521">
        <v>1</v>
      </c>
      <c r="E11" s="526">
        <v>16.64</v>
      </c>
    </row>
    <row r="12" spans="1:5">
      <c r="A12" s="521" t="s">
        <v>1858</v>
      </c>
      <c r="B12" s="539" t="s">
        <v>1859</v>
      </c>
      <c r="C12" s="539" t="s">
        <v>1868</v>
      </c>
      <c r="D12" s="521">
        <v>1</v>
      </c>
      <c r="E12" s="526">
        <v>18.72</v>
      </c>
    </row>
    <row r="13" spans="1:5">
      <c r="A13" s="521" t="s">
        <v>1858</v>
      </c>
      <c r="B13" s="539" t="s">
        <v>1869</v>
      </c>
      <c r="C13" s="539" t="s">
        <v>1870</v>
      </c>
      <c r="D13" s="521">
        <v>1</v>
      </c>
      <c r="E13" s="526">
        <v>20.75</v>
      </c>
    </row>
    <row r="14" spans="1:5">
      <c r="A14" s="521" t="s">
        <v>1858</v>
      </c>
      <c r="B14" s="539" t="s">
        <v>1834</v>
      </c>
      <c r="C14" s="539" t="s">
        <v>1871</v>
      </c>
      <c r="D14" s="521">
        <v>1</v>
      </c>
      <c r="E14" s="526">
        <v>21</v>
      </c>
    </row>
    <row r="15" spans="1:5">
      <c r="A15" s="521" t="s">
        <v>1858</v>
      </c>
      <c r="B15" s="539" t="s">
        <v>1859</v>
      </c>
      <c r="C15" s="539" t="s">
        <v>1872</v>
      </c>
      <c r="D15" s="521">
        <v>1</v>
      </c>
      <c r="E15" s="526">
        <v>22</v>
      </c>
    </row>
    <row r="16" spans="1:5">
      <c r="A16" s="521" t="s">
        <v>1858</v>
      </c>
      <c r="B16" s="539" t="s">
        <v>1834</v>
      </c>
      <c r="C16" s="539" t="s">
        <v>1873</v>
      </c>
      <c r="D16" s="521">
        <v>1</v>
      </c>
      <c r="E16" s="526">
        <v>22.67</v>
      </c>
    </row>
    <row r="17" spans="1:5">
      <c r="A17" s="521" t="s">
        <v>1858</v>
      </c>
      <c r="B17" s="539" t="s">
        <v>1859</v>
      </c>
      <c r="C17" s="539" t="s">
        <v>1874</v>
      </c>
      <c r="D17" s="521">
        <v>1</v>
      </c>
      <c r="E17" s="526">
        <v>25</v>
      </c>
    </row>
    <row r="18" spans="1:5">
      <c r="A18" s="521" t="s">
        <v>1858</v>
      </c>
      <c r="B18" s="539" t="s">
        <v>1859</v>
      </c>
      <c r="C18" s="539" t="s">
        <v>1875</v>
      </c>
      <c r="D18" s="521">
        <v>1</v>
      </c>
      <c r="E18" s="526">
        <v>32</v>
      </c>
    </row>
    <row r="19" spans="1:5">
      <c r="A19" s="521" t="s">
        <v>1858</v>
      </c>
      <c r="B19" s="539" t="s">
        <v>1876</v>
      </c>
      <c r="C19" s="539" t="s">
        <v>1877</v>
      </c>
      <c r="D19" s="521">
        <v>1</v>
      </c>
      <c r="E19" s="526">
        <v>32.304099999999998</v>
      </c>
    </row>
    <row r="20" spans="1:5" ht="24.75">
      <c r="A20" s="521" t="s">
        <v>1858</v>
      </c>
      <c r="B20" s="539" t="s">
        <v>1878</v>
      </c>
      <c r="C20" s="539" t="s">
        <v>1879</v>
      </c>
      <c r="D20" s="521">
        <v>1</v>
      </c>
      <c r="E20" s="526">
        <v>34</v>
      </c>
    </row>
    <row r="21" spans="1:5">
      <c r="A21" s="521" t="s">
        <v>1858</v>
      </c>
      <c r="B21" s="539" t="s">
        <v>1880</v>
      </c>
      <c r="C21" s="539" t="s">
        <v>1881</v>
      </c>
      <c r="D21" s="521">
        <v>1</v>
      </c>
      <c r="E21" s="526">
        <v>34.001100000000001</v>
      </c>
    </row>
    <row r="22" spans="1:5">
      <c r="A22" s="521" t="s">
        <v>1858</v>
      </c>
      <c r="B22" s="539" t="s">
        <v>1859</v>
      </c>
      <c r="C22" s="539" t="s">
        <v>1882</v>
      </c>
      <c r="D22" s="521">
        <v>1</v>
      </c>
      <c r="E22" s="526">
        <v>35.714300000000001</v>
      </c>
    </row>
    <row r="23" spans="1:5">
      <c r="A23" s="521" t="s">
        <v>1858</v>
      </c>
      <c r="B23" s="539" t="s">
        <v>1883</v>
      </c>
      <c r="C23" s="539" t="s">
        <v>1884</v>
      </c>
      <c r="D23" s="521">
        <v>1</v>
      </c>
      <c r="E23" s="526">
        <v>35.99</v>
      </c>
    </row>
    <row r="24" spans="1:5">
      <c r="A24" s="521" t="s">
        <v>1858</v>
      </c>
      <c r="B24" s="539" t="s">
        <v>1859</v>
      </c>
      <c r="C24" s="539" t="s">
        <v>1885</v>
      </c>
      <c r="D24" s="521">
        <v>1</v>
      </c>
      <c r="E24" s="526">
        <v>36.58</v>
      </c>
    </row>
    <row r="25" spans="1:5" ht="24.75">
      <c r="A25" s="521" t="s">
        <v>1858</v>
      </c>
      <c r="B25" s="539" t="s">
        <v>1886</v>
      </c>
      <c r="C25" s="539" t="s">
        <v>1887</v>
      </c>
      <c r="D25" s="525">
        <v>1</v>
      </c>
      <c r="E25" s="526">
        <v>332.09917808219188</v>
      </c>
    </row>
    <row r="26" spans="1:5">
      <c r="A26" s="521" t="s">
        <v>1858</v>
      </c>
      <c r="B26" s="539" t="s">
        <v>1859</v>
      </c>
      <c r="C26" s="539" t="s">
        <v>1888</v>
      </c>
      <c r="D26" s="521">
        <v>1</v>
      </c>
      <c r="E26" s="526">
        <v>40.4</v>
      </c>
    </row>
    <row r="27" spans="1:5">
      <c r="A27" s="521" t="s">
        <v>1858</v>
      </c>
      <c r="B27" s="539" t="s">
        <v>1889</v>
      </c>
      <c r="C27" s="539" t="s">
        <v>1890</v>
      </c>
      <c r="D27" s="521">
        <v>1</v>
      </c>
      <c r="E27" s="526">
        <v>40.56</v>
      </c>
    </row>
    <row r="28" spans="1:5">
      <c r="A28" s="521" t="s">
        <v>1858</v>
      </c>
      <c r="B28" s="539" t="s">
        <v>1859</v>
      </c>
      <c r="C28" s="539" t="s">
        <v>1891</v>
      </c>
      <c r="D28" s="521">
        <v>1</v>
      </c>
      <c r="E28" s="526">
        <v>41.6</v>
      </c>
    </row>
    <row r="29" spans="1:5">
      <c r="A29" s="521" t="s">
        <v>1858</v>
      </c>
      <c r="B29" s="539" t="s">
        <v>1892</v>
      </c>
      <c r="C29" s="539" t="s">
        <v>1893</v>
      </c>
      <c r="D29" s="521">
        <v>1</v>
      </c>
      <c r="E29" s="526">
        <v>42</v>
      </c>
    </row>
    <row r="30" spans="1:5">
      <c r="A30" s="521" t="s">
        <v>1858</v>
      </c>
      <c r="B30" s="539" t="s">
        <v>1859</v>
      </c>
      <c r="C30" s="539" t="s">
        <v>1894</v>
      </c>
      <c r="D30" s="521">
        <v>1</v>
      </c>
      <c r="E30" s="526">
        <v>43.2</v>
      </c>
    </row>
    <row r="31" spans="1:5">
      <c r="A31" s="521" t="s">
        <v>1895</v>
      </c>
      <c r="B31" s="539" t="s">
        <v>1896</v>
      </c>
      <c r="C31" s="539" t="s">
        <v>1897</v>
      </c>
      <c r="D31" s="521">
        <v>1</v>
      </c>
      <c r="E31" s="526">
        <v>143.32825452938559</v>
      </c>
    </row>
    <row r="32" spans="1:5">
      <c r="A32" s="521" t="s">
        <v>1895</v>
      </c>
      <c r="B32" s="539" t="s">
        <v>1898</v>
      </c>
      <c r="C32" s="539" t="s">
        <v>1899</v>
      </c>
      <c r="D32" s="525">
        <v>1</v>
      </c>
      <c r="E32" s="526">
        <v>46.54</v>
      </c>
    </row>
    <row r="33" spans="1:5">
      <c r="A33" s="521" t="s">
        <v>1858</v>
      </c>
      <c r="B33" s="539" t="s">
        <v>1900</v>
      </c>
      <c r="C33" s="539" t="s">
        <v>1901</v>
      </c>
      <c r="D33" s="521">
        <v>1</v>
      </c>
      <c r="E33" s="526">
        <v>48.88</v>
      </c>
    </row>
    <row r="34" spans="1:5">
      <c r="A34" s="521" t="s">
        <v>1858</v>
      </c>
      <c r="B34" s="539" t="s">
        <v>1869</v>
      </c>
      <c r="C34" s="539" t="s">
        <v>1902</v>
      </c>
      <c r="D34" s="521">
        <v>1</v>
      </c>
      <c r="E34" s="526">
        <v>52</v>
      </c>
    </row>
    <row r="35" spans="1:5">
      <c r="A35" s="521" t="s">
        <v>1858</v>
      </c>
      <c r="B35" s="539" t="s">
        <v>1903</v>
      </c>
      <c r="C35" s="539" t="s">
        <v>1904</v>
      </c>
      <c r="D35" s="521">
        <v>1</v>
      </c>
      <c r="E35" s="526">
        <v>52</v>
      </c>
    </row>
    <row r="36" spans="1:5">
      <c r="A36" s="521" t="s">
        <v>1858</v>
      </c>
      <c r="B36" s="539" t="s">
        <v>1905</v>
      </c>
      <c r="C36" s="539" t="s">
        <v>1906</v>
      </c>
      <c r="D36" s="521">
        <v>1</v>
      </c>
      <c r="E36" s="526">
        <v>54.63</v>
      </c>
    </row>
    <row r="37" spans="1:5">
      <c r="A37" s="521" t="s">
        <v>1858</v>
      </c>
      <c r="B37" s="539" t="s">
        <v>1907</v>
      </c>
      <c r="C37" s="539" t="s">
        <v>1908</v>
      </c>
      <c r="D37" s="521">
        <v>1</v>
      </c>
      <c r="E37" s="526">
        <v>55</v>
      </c>
    </row>
    <row r="38" spans="1:5">
      <c r="A38" s="521" t="s">
        <v>1858</v>
      </c>
      <c r="B38" s="539" t="s">
        <v>1859</v>
      </c>
      <c r="C38" s="539" t="s">
        <v>1909</v>
      </c>
      <c r="D38" s="521">
        <v>1</v>
      </c>
      <c r="E38" s="526">
        <v>55.86</v>
      </c>
    </row>
    <row r="39" spans="1:5">
      <c r="A39" s="521" t="s">
        <v>1858</v>
      </c>
      <c r="B39" s="539" t="s">
        <v>1880</v>
      </c>
      <c r="C39" s="539" t="s">
        <v>1910</v>
      </c>
      <c r="D39" s="521">
        <v>1</v>
      </c>
      <c r="E39" s="526">
        <v>55.993000000000002</v>
      </c>
    </row>
    <row r="40" spans="1:5">
      <c r="A40" s="521" t="s">
        <v>1895</v>
      </c>
      <c r="B40" s="539" t="s">
        <v>1911</v>
      </c>
      <c r="C40" s="539" t="s">
        <v>1912</v>
      </c>
      <c r="D40" s="525">
        <v>1</v>
      </c>
      <c r="E40" s="526">
        <v>56.160000000000004</v>
      </c>
    </row>
    <row r="41" spans="1:5">
      <c r="A41" s="521" t="s">
        <v>1895</v>
      </c>
      <c r="B41" s="539" t="s">
        <v>1911</v>
      </c>
      <c r="C41" s="539" t="s">
        <v>1913</v>
      </c>
      <c r="D41" s="525">
        <v>1</v>
      </c>
      <c r="E41" s="526">
        <v>56.300000000000004</v>
      </c>
    </row>
    <row r="42" spans="1:5">
      <c r="A42" s="521" t="s">
        <v>1858</v>
      </c>
      <c r="B42" s="539" t="s">
        <v>1914</v>
      </c>
      <c r="C42" s="539" t="s">
        <v>1915</v>
      </c>
      <c r="D42" s="521">
        <v>1</v>
      </c>
      <c r="E42" s="526">
        <v>56.51</v>
      </c>
    </row>
    <row r="43" spans="1:5">
      <c r="A43" s="521" t="s">
        <v>1895</v>
      </c>
      <c r="B43" s="539" t="s">
        <v>1896</v>
      </c>
      <c r="C43" s="539" t="s">
        <v>1916</v>
      </c>
      <c r="D43" s="521">
        <v>1</v>
      </c>
      <c r="E43" s="526">
        <v>1292.2161753708201</v>
      </c>
    </row>
    <row r="44" spans="1:5">
      <c r="A44" s="521" t="s">
        <v>1858</v>
      </c>
      <c r="B44" s="539" t="s">
        <v>1917</v>
      </c>
      <c r="C44" s="539" t="s">
        <v>1918</v>
      </c>
      <c r="D44" s="525">
        <v>1</v>
      </c>
      <c r="E44" s="526">
        <v>61.569999999999936</v>
      </c>
    </row>
    <row r="45" spans="1:5">
      <c r="A45" s="521" t="s">
        <v>1858</v>
      </c>
      <c r="B45" s="539" t="s">
        <v>1859</v>
      </c>
      <c r="C45" s="539" t="s">
        <v>1919</v>
      </c>
      <c r="D45" s="521">
        <v>1</v>
      </c>
      <c r="E45" s="526">
        <v>63.45</v>
      </c>
    </row>
    <row r="46" spans="1:5">
      <c r="A46" s="521" t="s">
        <v>1858</v>
      </c>
      <c r="B46" s="539" t="s">
        <v>1869</v>
      </c>
      <c r="C46" s="539" t="s">
        <v>1920</v>
      </c>
      <c r="D46" s="521">
        <v>1</v>
      </c>
      <c r="E46" s="526">
        <v>66</v>
      </c>
    </row>
    <row r="47" spans="1:5" ht="24.75">
      <c r="A47" s="521" t="s">
        <v>1858</v>
      </c>
      <c r="B47" s="539" t="s">
        <v>1921</v>
      </c>
      <c r="C47" s="539" t="s">
        <v>1922</v>
      </c>
      <c r="D47" s="521">
        <v>1</v>
      </c>
      <c r="E47" s="526">
        <v>66.56</v>
      </c>
    </row>
    <row r="48" spans="1:5" ht="36.75">
      <c r="A48" s="521" t="s">
        <v>1858</v>
      </c>
      <c r="B48" s="539" t="s">
        <v>1923</v>
      </c>
      <c r="C48" s="539" t="s">
        <v>1924</v>
      </c>
      <c r="D48" s="521">
        <v>1</v>
      </c>
      <c r="E48" s="526">
        <v>68</v>
      </c>
    </row>
    <row r="49" spans="1:5">
      <c r="A49" s="521" t="s">
        <v>1858</v>
      </c>
      <c r="B49" s="539" t="s">
        <v>1925</v>
      </c>
      <c r="C49" s="539" t="s">
        <v>1926</v>
      </c>
      <c r="D49" s="521">
        <v>1</v>
      </c>
      <c r="E49" s="526">
        <v>68.400000000000006</v>
      </c>
    </row>
    <row r="50" spans="1:5" ht="24.75">
      <c r="A50" s="521" t="s">
        <v>1858</v>
      </c>
      <c r="B50" s="539" t="s">
        <v>1927</v>
      </c>
      <c r="C50" s="539" t="s">
        <v>1928</v>
      </c>
      <c r="D50" s="525">
        <v>1</v>
      </c>
      <c r="E50" s="526">
        <v>959.82838356164393</v>
      </c>
    </row>
    <row r="51" spans="1:5">
      <c r="A51" s="521" t="s">
        <v>1858</v>
      </c>
      <c r="B51" s="539" t="s">
        <v>1929</v>
      </c>
      <c r="C51" s="539" t="s">
        <v>1930</v>
      </c>
      <c r="D51" s="521">
        <v>1</v>
      </c>
      <c r="E51" s="526">
        <v>69.465000000000003</v>
      </c>
    </row>
    <row r="52" spans="1:5">
      <c r="A52" s="521" t="s">
        <v>1858</v>
      </c>
      <c r="B52" s="539" t="s">
        <v>1869</v>
      </c>
      <c r="C52" s="539" t="s">
        <v>1931</v>
      </c>
      <c r="D52" s="521">
        <v>1</v>
      </c>
      <c r="E52" s="526">
        <v>70</v>
      </c>
    </row>
    <row r="53" spans="1:5">
      <c r="A53" s="521" t="s">
        <v>1858</v>
      </c>
      <c r="B53" s="539" t="s">
        <v>1932</v>
      </c>
      <c r="C53" s="539" t="s">
        <v>1933</v>
      </c>
      <c r="D53" s="521">
        <v>1</v>
      </c>
      <c r="E53" s="526">
        <v>70</v>
      </c>
    </row>
    <row r="54" spans="1:5">
      <c r="A54" s="521" t="s">
        <v>1858</v>
      </c>
      <c r="B54" s="539" t="s">
        <v>1869</v>
      </c>
      <c r="C54" s="539" t="s">
        <v>1934</v>
      </c>
      <c r="D54" s="521">
        <v>1</v>
      </c>
      <c r="E54" s="526">
        <v>70</v>
      </c>
    </row>
    <row r="55" spans="1:5">
      <c r="A55" s="521" t="s">
        <v>1858</v>
      </c>
      <c r="B55" s="539" t="s">
        <v>1859</v>
      </c>
      <c r="C55" s="539" t="s">
        <v>1935</v>
      </c>
      <c r="D55" s="521">
        <v>1</v>
      </c>
      <c r="E55" s="526">
        <v>71.760000000000005</v>
      </c>
    </row>
    <row r="56" spans="1:5">
      <c r="A56" s="521" t="s">
        <v>1858</v>
      </c>
      <c r="B56" s="539" t="s">
        <v>1936</v>
      </c>
      <c r="C56" s="539" t="s">
        <v>1937</v>
      </c>
      <c r="D56" s="521">
        <v>1</v>
      </c>
      <c r="E56" s="526">
        <v>72</v>
      </c>
    </row>
    <row r="57" spans="1:5">
      <c r="A57" s="521" t="s">
        <v>1858</v>
      </c>
      <c r="B57" s="539" t="s">
        <v>1938</v>
      </c>
      <c r="C57" s="539" t="s">
        <v>1939</v>
      </c>
      <c r="D57" s="521">
        <v>1</v>
      </c>
      <c r="E57" s="526">
        <v>72</v>
      </c>
    </row>
    <row r="58" spans="1:5">
      <c r="A58" s="521" t="s">
        <v>1895</v>
      </c>
      <c r="B58" s="539" t="s">
        <v>1911</v>
      </c>
      <c r="C58" s="539" t="s">
        <v>1940</v>
      </c>
      <c r="D58" s="525">
        <v>1</v>
      </c>
      <c r="E58" s="526">
        <v>72.900000000000006</v>
      </c>
    </row>
    <row r="59" spans="1:5">
      <c r="A59" s="521" t="s">
        <v>1858</v>
      </c>
      <c r="B59" s="539" t="s">
        <v>1859</v>
      </c>
      <c r="C59" s="539" t="s">
        <v>1885</v>
      </c>
      <c r="D59" s="521">
        <v>2</v>
      </c>
      <c r="E59" s="526">
        <v>73.1601</v>
      </c>
    </row>
    <row r="60" spans="1:5">
      <c r="A60" s="521" t="s">
        <v>1858</v>
      </c>
      <c r="B60" s="539" t="s">
        <v>1869</v>
      </c>
      <c r="C60" s="539" t="s">
        <v>1941</v>
      </c>
      <c r="D60" s="521">
        <v>1</v>
      </c>
      <c r="E60" s="526">
        <v>74.88</v>
      </c>
    </row>
    <row r="61" spans="1:5">
      <c r="A61" s="521" t="s">
        <v>1858</v>
      </c>
      <c r="B61" s="539" t="s">
        <v>1869</v>
      </c>
      <c r="C61" s="539" t="s">
        <v>1942</v>
      </c>
      <c r="D61" s="521">
        <v>1</v>
      </c>
      <c r="E61" s="526">
        <v>74.88</v>
      </c>
    </row>
    <row r="62" spans="1:5" ht="24.75">
      <c r="A62" s="521" t="s">
        <v>1858</v>
      </c>
      <c r="B62" s="539" t="s">
        <v>1943</v>
      </c>
      <c r="C62" s="539" t="s">
        <v>1944</v>
      </c>
      <c r="D62" s="521">
        <v>1</v>
      </c>
      <c r="E62" s="526">
        <v>74.88</v>
      </c>
    </row>
    <row r="63" spans="1:5">
      <c r="A63" s="521" t="s">
        <v>1895</v>
      </c>
      <c r="B63" s="539" t="s">
        <v>1911</v>
      </c>
      <c r="C63" s="539" t="s">
        <v>1945</v>
      </c>
      <c r="D63" s="521">
        <v>1</v>
      </c>
      <c r="E63" s="526">
        <v>77.14</v>
      </c>
    </row>
    <row r="64" spans="1:5">
      <c r="A64" s="521" t="s">
        <v>1858</v>
      </c>
      <c r="B64" s="539" t="s">
        <v>1869</v>
      </c>
      <c r="C64" s="539" t="s">
        <v>1946</v>
      </c>
      <c r="D64" s="521">
        <v>1</v>
      </c>
      <c r="E64" s="526">
        <v>78</v>
      </c>
    </row>
    <row r="65" spans="1:5">
      <c r="A65" s="521" t="s">
        <v>1858</v>
      </c>
      <c r="B65" s="539" t="s">
        <v>1947</v>
      </c>
      <c r="C65" s="539" t="s">
        <v>1948</v>
      </c>
      <c r="D65" s="521">
        <v>1</v>
      </c>
      <c r="E65" s="526">
        <v>80</v>
      </c>
    </row>
    <row r="66" spans="1:5">
      <c r="A66" s="521" t="s">
        <v>1895</v>
      </c>
      <c r="B66" s="539" t="s">
        <v>1911</v>
      </c>
      <c r="C66" s="539" t="s">
        <v>1949</v>
      </c>
      <c r="D66" s="521">
        <v>1</v>
      </c>
      <c r="E66" s="526">
        <v>81</v>
      </c>
    </row>
    <row r="67" spans="1:5">
      <c r="A67" s="521" t="s">
        <v>1858</v>
      </c>
      <c r="B67" s="539" t="s">
        <v>1859</v>
      </c>
      <c r="C67" s="539" t="s">
        <v>1950</v>
      </c>
      <c r="D67" s="521">
        <v>1</v>
      </c>
      <c r="E67" s="526">
        <v>83.43</v>
      </c>
    </row>
    <row r="68" spans="1:5">
      <c r="A68" s="521" t="s">
        <v>1858</v>
      </c>
      <c r="B68" s="539" t="s">
        <v>1859</v>
      </c>
      <c r="C68" s="539" t="s">
        <v>1951</v>
      </c>
      <c r="D68" s="521">
        <v>1</v>
      </c>
      <c r="E68" s="526">
        <v>84</v>
      </c>
    </row>
    <row r="69" spans="1:5">
      <c r="A69" s="521" t="s">
        <v>1858</v>
      </c>
      <c r="B69" s="539" t="s">
        <v>1859</v>
      </c>
      <c r="C69" s="539" t="s">
        <v>1860</v>
      </c>
      <c r="D69" s="521">
        <v>2</v>
      </c>
      <c r="E69" s="526">
        <v>84</v>
      </c>
    </row>
    <row r="70" spans="1:5">
      <c r="A70" s="521" t="s">
        <v>1895</v>
      </c>
      <c r="B70" s="539" t="s">
        <v>1911</v>
      </c>
      <c r="C70" s="539" t="s">
        <v>1952</v>
      </c>
      <c r="D70" s="525">
        <v>1</v>
      </c>
      <c r="E70" s="526">
        <v>84.24</v>
      </c>
    </row>
    <row r="71" spans="1:5">
      <c r="A71" s="521" t="s">
        <v>1858</v>
      </c>
      <c r="B71" s="539" t="s">
        <v>1859</v>
      </c>
      <c r="C71" s="539" t="s">
        <v>1953</v>
      </c>
      <c r="D71" s="521">
        <v>1</v>
      </c>
      <c r="E71" s="526">
        <v>86</v>
      </c>
    </row>
    <row r="72" spans="1:5">
      <c r="A72" s="521" t="s">
        <v>1858</v>
      </c>
      <c r="B72" s="539" t="s">
        <v>1859</v>
      </c>
      <c r="C72" s="539" t="s">
        <v>1954</v>
      </c>
      <c r="D72" s="521">
        <v>1</v>
      </c>
      <c r="E72" s="526">
        <v>90</v>
      </c>
    </row>
    <row r="73" spans="1:5">
      <c r="A73" s="521" t="s">
        <v>1858</v>
      </c>
      <c r="B73" s="539" t="s">
        <v>1859</v>
      </c>
      <c r="C73" s="539" t="s">
        <v>1955</v>
      </c>
      <c r="D73" s="521">
        <v>1</v>
      </c>
      <c r="E73" s="526">
        <v>90</v>
      </c>
    </row>
    <row r="74" spans="1:5">
      <c r="A74" s="521" t="s">
        <v>1895</v>
      </c>
      <c r="B74" s="539" t="s">
        <v>1956</v>
      </c>
      <c r="C74" s="539" t="s">
        <v>1957</v>
      </c>
      <c r="D74" s="521">
        <v>1</v>
      </c>
      <c r="E74" s="526">
        <v>91.01</v>
      </c>
    </row>
    <row r="75" spans="1:5" ht="24.75">
      <c r="A75" s="521" t="s">
        <v>1895</v>
      </c>
      <c r="B75" s="539" t="s">
        <v>1958</v>
      </c>
      <c r="C75" s="539" t="s">
        <v>1959</v>
      </c>
      <c r="D75" s="525">
        <v>1</v>
      </c>
      <c r="E75" s="526">
        <v>98.28</v>
      </c>
    </row>
    <row r="76" spans="1:5">
      <c r="A76" s="521" t="s">
        <v>1858</v>
      </c>
      <c r="B76" s="539" t="s">
        <v>1859</v>
      </c>
      <c r="C76" s="539" t="s">
        <v>1960</v>
      </c>
      <c r="D76" s="521">
        <v>1</v>
      </c>
      <c r="E76" s="526">
        <v>99</v>
      </c>
    </row>
    <row r="77" spans="1:5">
      <c r="A77" s="521" t="s">
        <v>1895</v>
      </c>
      <c r="B77" s="539" t="s">
        <v>1961</v>
      </c>
      <c r="C77" s="539" t="s">
        <v>1962</v>
      </c>
      <c r="D77" s="525">
        <v>1</v>
      </c>
      <c r="E77" s="526">
        <v>100</v>
      </c>
    </row>
    <row r="78" spans="1:5">
      <c r="A78" s="521" t="s">
        <v>1858</v>
      </c>
      <c r="B78" s="539" t="s">
        <v>1859</v>
      </c>
      <c r="C78" s="539" t="s">
        <v>1963</v>
      </c>
      <c r="D78" s="521">
        <v>2</v>
      </c>
      <c r="E78" s="526">
        <v>101</v>
      </c>
    </row>
    <row r="79" spans="1:5">
      <c r="A79" s="521" t="s">
        <v>1895</v>
      </c>
      <c r="B79" s="539" t="s">
        <v>1898</v>
      </c>
      <c r="C79" s="539" t="s">
        <v>1964</v>
      </c>
      <c r="D79" s="521">
        <v>1</v>
      </c>
      <c r="E79" s="526">
        <v>102</v>
      </c>
    </row>
    <row r="80" spans="1:5">
      <c r="A80" s="521" t="s">
        <v>1858</v>
      </c>
      <c r="B80" s="539" t="s">
        <v>1965</v>
      </c>
      <c r="C80" s="539" t="s">
        <v>1966</v>
      </c>
      <c r="D80" s="525">
        <v>1</v>
      </c>
      <c r="E80" s="526">
        <v>707.4468493150689</v>
      </c>
    </row>
    <row r="81" spans="1:5">
      <c r="A81" s="521" t="s">
        <v>1858</v>
      </c>
      <c r="B81" s="539" t="s">
        <v>1859</v>
      </c>
      <c r="C81" s="539" t="s">
        <v>1967</v>
      </c>
      <c r="D81" s="521">
        <v>2</v>
      </c>
      <c r="E81" s="526">
        <v>109</v>
      </c>
    </row>
    <row r="82" spans="1:5">
      <c r="A82" s="521" t="s">
        <v>1858</v>
      </c>
      <c r="B82" s="539" t="s">
        <v>1968</v>
      </c>
      <c r="C82" s="539" t="s">
        <v>1969</v>
      </c>
      <c r="D82" s="521">
        <v>1</v>
      </c>
      <c r="E82" s="526">
        <v>111.7782</v>
      </c>
    </row>
    <row r="83" spans="1:5">
      <c r="A83" s="521" t="s">
        <v>1858</v>
      </c>
      <c r="B83" s="539" t="s">
        <v>1905</v>
      </c>
      <c r="C83" s="539" t="s">
        <v>1970</v>
      </c>
      <c r="D83" s="521">
        <v>2</v>
      </c>
      <c r="E83" s="526">
        <v>112.11500000000001</v>
      </c>
    </row>
    <row r="84" spans="1:5">
      <c r="A84" s="521" t="s">
        <v>1858</v>
      </c>
      <c r="B84" s="539" t="s">
        <v>1859</v>
      </c>
      <c r="C84" s="539" t="s">
        <v>1971</v>
      </c>
      <c r="D84" s="521">
        <v>2</v>
      </c>
      <c r="E84" s="526">
        <v>114.7225</v>
      </c>
    </row>
    <row r="85" spans="1:5" ht="36.75">
      <c r="A85" s="521" t="s">
        <v>1858</v>
      </c>
      <c r="B85" s="539" t="s">
        <v>1972</v>
      </c>
      <c r="C85" s="539" t="s">
        <v>1973</v>
      </c>
      <c r="D85" s="521">
        <v>1</v>
      </c>
      <c r="E85" s="526">
        <v>114.96000000000001</v>
      </c>
    </row>
    <row r="86" spans="1:5" ht="24.75">
      <c r="A86" s="521" t="s">
        <v>1858</v>
      </c>
      <c r="B86" s="539" t="s">
        <v>1974</v>
      </c>
      <c r="C86" s="539" t="s">
        <v>1975</v>
      </c>
      <c r="D86" s="521">
        <v>1</v>
      </c>
      <c r="E86" s="526">
        <v>115.91</v>
      </c>
    </row>
    <row r="87" spans="1:5" ht="24.75">
      <c r="A87" s="521" t="s">
        <v>1895</v>
      </c>
      <c r="B87" s="539" t="s">
        <v>1958</v>
      </c>
      <c r="C87" s="539" t="s">
        <v>1976</v>
      </c>
      <c r="D87" s="525">
        <v>1</v>
      </c>
      <c r="E87" s="526">
        <v>117.93</v>
      </c>
    </row>
    <row r="88" spans="1:5">
      <c r="A88" s="521" t="s">
        <v>1858</v>
      </c>
      <c r="B88" s="539" t="s">
        <v>1859</v>
      </c>
      <c r="C88" s="539" t="s">
        <v>1977</v>
      </c>
      <c r="D88" s="521">
        <v>1</v>
      </c>
      <c r="E88" s="526">
        <v>118.765</v>
      </c>
    </row>
    <row r="89" spans="1:5">
      <c r="A89" s="521" t="s">
        <v>1858</v>
      </c>
      <c r="B89" s="539" t="s">
        <v>1978</v>
      </c>
      <c r="C89" s="539" t="s">
        <v>1979</v>
      </c>
      <c r="D89" s="521">
        <v>1</v>
      </c>
      <c r="E89" s="526">
        <v>119.5</v>
      </c>
    </row>
    <row r="90" spans="1:5">
      <c r="A90" s="521" t="s">
        <v>1858</v>
      </c>
      <c r="B90" s="539" t="s">
        <v>1980</v>
      </c>
      <c r="C90" s="539" t="s">
        <v>1981</v>
      </c>
      <c r="D90" s="521">
        <v>1</v>
      </c>
      <c r="E90" s="526">
        <v>119.60000000000001</v>
      </c>
    </row>
    <row r="91" spans="1:5">
      <c r="A91" s="521" t="s">
        <v>1858</v>
      </c>
      <c r="B91" s="539" t="s">
        <v>1859</v>
      </c>
      <c r="C91" s="539" t="s">
        <v>1982</v>
      </c>
      <c r="D91" s="521">
        <v>1</v>
      </c>
      <c r="E91" s="526">
        <v>120</v>
      </c>
    </row>
    <row r="92" spans="1:5">
      <c r="A92" s="521" t="s">
        <v>1858</v>
      </c>
      <c r="B92" s="539" t="s">
        <v>1983</v>
      </c>
      <c r="C92" s="539" t="s">
        <v>1984</v>
      </c>
      <c r="D92" s="521">
        <v>2</v>
      </c>
      <c r="E92" s="526">
        <v>121.8</v>
      </c>
    </row>
    <row r="93" spans="1:5">
      <c r="A93" s="521" t="s">
        <v>1895</v>
      </c>
      <c r="B93" s="539" t="s">
        <v>1911</v>
      </c>
      <c r="C93" s="539" t="s">
        <v>1985</v>
      </c>
      <c r="D93" s="521">
        <v>1</v>
      </c>
      <c r="E93" s="526">
        <v>126</v>
      </c>
    </row>
    <row r="94" spans="1:5">
      <c r="A94" s="521" t="s">
        <v>1895</v>
      </c>
      <c r="B94" s="539" t="s">
        <v>1911</v>
      </c>
      <c r="C94" s="539" t="s">
        <v>1986</v>
      </c>
      <c r="D94" s="525">
        <v>1</v>
      </c>
      <c r="E94" s="526">
        <v>126.36</v>
      </c>
    </row>
    <row r="95" spans="1:5">
      <c r="A95" s="521" t="s">
        <v>1858</v>
      </c>
      <c r="B95" s="539" t="s">
        <v>1987</v>
      </c>
      <c r="C95" s="539" t="s">
        <v>1988</v>
      </c>
      <c r="D95" s="521">
        <v>1</v>
      </c>
      <c r="E95" s="526">
        <v>130</v>
      </c>
    </row>
    <row r="96" spans="1:5" ht="24.75">
      <c r="A96" s="521" t="s">
        <v>1858</v>
      </c>
      <c r="B96" s="539" t="s">
        <v>1989</v>
      </c>
      <c r="C96" s="539" t="s">
        <v>1990</v>
      </c>
      <c r="D96" s="521">
        <v>1</v>
      </c>
      <c r="E96" s="526">
        <v>130</v>
      </c>
    </row>
    <row r="97" spans="1:5">
      <c r="A97" s="521" t="s">
        <v>1858</v>
      </c>
      <c r="B97" s="539" t="s">
        <v>1869</v>
      </c>
      <c r="C97" s="539" t="s">
        <v>1991</v>
      </c>
      <c r="D97" s="521">
        <v>1</v>
      </c>
      <c r="E97" s="526">
        <v>132.5</v>
      </c>
    </row>
    <row r="98" spans="1:5" ht="24.75">
      <c r="A98" s="521" t="s">
        <v>1858</v>
      </c>
      <c r="B98" s="539" t="s">
        <v>1992</v>
      </c>
      <c r="C98" s="539" t="s">
        <v>1993</v>
      </c>
      <c r="D98" s="521">
        <v>1</v>
      </c>
      <c r="E98" s="526">
        <v>134.99370000000002</v>
      </c>
    </row>
    <row r="99" spans="1:5">
      <c r="A99" s="521" t="s">
        <v>1895</v>
      </c>
      <c r="B99" s="539" t="s">
        <v>1911</v>
      </c>
      <c r="C99" s="539" t="s">
        <v>1994</v>
      </c>
      <c r="D99" s="525">
        <v>1</v>
      </c>
      <c r="E99" s="526">
        <v>135.5</v>
      </c>
    </row>
    <row r="100" spans="1:5">
      <c r="A100" s="521" t="s">
        <v>1858</v>
      </c>
      <c r="B100" s="539" t="s">
        <v>1995</v>
      </c>
      <c r="C100" s="539" t="s">
        <v>1996</v>
      </c>
      <c r="D100" s="521">
        <v>1</v>
      </c>
      <c r="E100" s="526">
        <v>136</v>
      </c>
    </row>
    <row r="101" spans="1:5">
      <c r="A101" s="521" t="s">
        <v>1858</v>
      </c>
      <c r="B101" s="539" t="s">
        <v>1997</v>
      </c>
      <c r="C101" s="539" t="s">
        <v>1998</v>
      </c>
      <c r="D101" s="521">
        <v>1</v>
      </c>
      <c r="E101" s="526">
        <v>140.20000000000002</v>
      </c>
    </row>
    <row r="102" spans="1:5" ht="24.75">
      <c r="A102" s="521" t="s">
        <v>1858</v>
      </c>
      <c r="B102" s="539" t="s">
        <v>1999</v>
      </c>
      <c r="C102" s="539" t="s">
        <v>2000</v>
      </c>
      <c r="D102" s="521">
        <v>1</v>
      </c>
      <c r="E102" s="526">
        <v>145.245</v>
      </c>
    </row>
    <row r="103" spans="1:5">
      <c r="A103" s="521" t="s">
        <v>1858</v>
      </c>
      <c r="B103" s="539" t="s">
        <v>1859</v>
      </c>
      <c r="C103" s="539" t="s">
        <v>2001</v>
      </c>
      <c r="D103" s="521">
        <v>1</v>
      </c>
      <c r="E103" s="526">
        <v>150</v>
      </c>
    </row>
    <row r="104" spans="1:5">
      <c r="A104" s="521" t="s">
        <v>1895</v>
      </c>
      <c r="B104" s="539" t="s">
        <v>1898</v>
      </c>
      <c r="C104" s="539" t="s">
        <v>2002</v>
      </c>
      <c r="D104" s="521">
        <v>1</v>
      </c>
      <c r="E104" s="526">
        <v>153</v>
      </c>
    </row>
    <row r="105" spans="1:5">
      <c r="A105" s="521" t="s">
        <v>1895</v>
      </c>
      <c r="B105" s="539" t="s">
        <v>1898</v>
      </c>
      <c r="C105" s="539" t="s">
        <v>2003</v>
      </c>
      <c r="D105" s="521">
        <v>1</v>
      </c>
      <c r="E105" s="526">
        <v>153</v>
      </c>
    </row>
    <row r="106" spans="1:5" ht="36.75">
      <c r="A106" s="521" t="s">
        <v>1858</v>
      </c>
      <c r="B106" s="539" t="s">
        <v>2004</v>
      </c>
      <c r="C106" s="539" t="s">
        <v>2005</v>
      </c>
      <c r="D106" s="521">
        <v>1</v>
      </c>
      <c r="E106" s="526">
        <v>153.91</v>
      </c>
    </row>
    <row r="107" spans="1:5">
      <c r="A107" s="521" t="s">
        <v>1858</v>
      </c>
      <c r="B107" s="539" t="s">
        <v>2006</v>
      </c>
      <c r="C107" s="539" t="s">
        <v>2007</v>
      </c>
      <c r="D107" s="521">
        <v>1</v>
      </c>
      <c r="E107" s="526">
        <v>155.874</v>
      </c>
    </row>
    <row r="108" spans="1:5">
      <c r="A108" s="521" t="s">
        <v>1858</v>
      </c>
      <c r="B108" s="539" t="s">
        <v>2008</v>
      </c>
      <c r="C108" s="539" t="s">
        <v>2009</v>
      </c>
      <c r="D108" s="521">
        <v>1</v>
      </c>
      <c r="E108" s="526">
        <v>156.00001080000001</v>
      </c>
    </row>
    <row r="109" spans="1:5">
      <c r="A109" s="521" t="s">
        <v>1858</v>
      </c>
      <c r="B109" s="539" t="s">
        <v>1834</v>
      </c>
      <c r="C109" s="539" t="s">
        <v>2010</v>
      </c>
      <c r="D109" s="521">
        <v>1</v>
      </c>
      <c r="E109" s="526">
        <v>156.52000000000001</v>
      </c>
    </row>
    <row r="110" spans="1:5" ht="24.75">
      <c r="A110" s="521" t="s">
        <v>1858</v>
      </c>
      <c r="B110" s="539" t="s">
        <v>2011</v>
      </c>
      <c r="C110" s="539" t="s">
        <v>2012</v>
      </c>
      <c r="D110" s="521">
        <v>1</v>
      </c>
      <c r="E110" s="526">
        <v>160</v>
      </c>
    </row>
    <row r="111" spans="1:5">
      <c r="A111" s="521" t="s">
        <v>1895</v>
      </c>
      <c r="B111" s="539" t="s">
        <v>1911</v>
      </c>
      <c r="C111" s="539" t="s">
        <v>2013</v>
      </c>
      <c r="D111" s="525">
        <v>1</v>
      </c>
      <c r="E111" s="526">
        <v>160.05000000000001</v>
      </c>
    </row>
    <row r="112" spans="1:5">
      <c r="A112" s="521" t="s">
        <v>1858</v>
      </c>
      <c r="B112" s="539" t="s">
        <v>1883</v>
      </c>
      <c r="C112" s="539" t="s">
        <v>2014</v>
      </c>
      <c r="D112" s="521">
        <v>1</v>
      </c>
      <c r="E112" s="526">
        <v>160.57</v>
      </c>
    </row>
    <row r="113" spans="1:5">
      <c r="A113" s="521" t="s">
        <v>1858</v>
      </c>
      <c r="B113" s="539" t="s">
        <v>1859</v>
      </c>
      <c r="C113" s="539" t="s">
        <v>2015</v>
      </c>
      <c r="D113" s="521">
        <v>1</v>
      </c>
      <c r="E113" s="526">
        <v>161.52000000000001</v>
      </c>
    </row>
    <row r="114" spans="1:5" ht="24.75">
      <c r="A114" s="521" t="s">
        <v>1858</v>
      </c>
      <c r="B114" s="539" t="s">
        <v>2016</v>
      </c>
      <c r="C114" s="539" t="s">
        <v>2017</v>
      </c>
      <c r="D114" s="521">
        <v>1</v>
      </c>
      <c r="E114" s="526">
        <v>163.20000000000002</v>
      </c>
    </row>
    <row r="115" spans="1:5" ht="24.75">
      <c r="A115" s="521" t="s">
        <v>1858</v>
      </c>
      <c r="B115" s="539" t="s">
        <v>2016</v>
      </c>
      <c r="C115" s="539" t="s">
        <v>2018</v>
      </c>
      <c r="D115" s="521">
        <v>1</v>
      </c>
      <c r="E115" s="526">
        <v>163.20000000000002</v>
      </c>
    </row>
    <row r="116" spans="1:5" ht="36.75">
      <c r="A116" s="521" t="s">
        <v>1858</v>
      </c>
      <c r="B116" s="539" t="s">
        <v>2019</v>
      </c>
      <c r="C116" s="539" t="s">
        <v>2020</v>
      </c>
      <c r="D116" s="521">
        <v>1</v>
      </c>
      <c r="E116" s="526">
        <v>165.00040000000001</v>
      </c>
    </row>
    <row r="117" spans="1:5" ht="24.75">
      <c r="A117" s="521" t="s">
        <v>1858</v>
      </c>
      <c r="B117" s="539" t="s">
        <v>2011</v>
      </c>
      <c r="C117" s="539" t="s">
        <v>2021</v>
      </c>
      <c r="D117" s="521">
        <v>1</v>
      </c>
      <c r="E117" s="526">
        <v>166.27</v>
      </c>
    </row>
    <row r="118" spans="1:5">
      <c r="A118" s="521" t="s">
        <v>1895</v>
      </c>
      <c r="B118" s="539" t="s">
        <v>1911</v>
      </c>
      <c r="C118" s="539" t="s">
        <v>2022</v>
      </c>
      <c r="D118" s="525">
        <v>1</v>
      </c>
      <c r="E118" s="526">
        <v>170.35</v>
      </c>
    </row>
    <row r="119" spans="1:5" ht="24.75">
      <c r="A119" s="521" t="s">
        <v>1858</v>
      </c>
      <c r="B119" s="539" t="s">
        <v>2023</v>
      </c>
      <c r="C119" s="539" t="s">
        <v>2024</v>
      </c>
      <c r="D119" s="521">
        <v>1</v>
      </c>
      <c r="E119" s="526">
        <v>173.66249999999999</v>
      </c>
    </row>
    <row r="120" spans="1:5" ht="24.75">
      <c r="A120" s="521" t="s">
        <v>1858</v>
      </c>
      <c r="B120" s="539" t="s">
        <v>2025</v>
      </c>
      <c r="C120" s="539" t="s">
        <v>2026</v>
      </c>
      <c r="D120" s="521">
        <v>3</v>
      </c>
      <c r="E120" s="526">
        <v>177</v>
      </c>
    </row>
    <row r="121" spans="1:5">
      <c r="A121" s="521" t="s">
        <v>1858</v>
      </c>
      <c r="B121" s="539" t="s">
        <v>1869</v>
      </c>
      <c r="C121" s="539" t="s">
        <v>2027</v>
      </c>
      <c r="D121" s="521">
        <v>1</v>
      </c>
      <c r="E121" s="526">
        <v>180</v>
      </c>
    </row>
    <row r="122" spans="1:5" ht="24.75">
      <c r="A122" s="521" t="s">
        <v>1858</v>
      </c>
      <c r="B122" s="539" t="s">
        <v>2028</v>
      </c>
      <c r="C122" s="539" t="s">
        <v>2029</v>
      </c>
      <c r="D122" s="521">
        <v>3</v>
      </c>
      <c r="E122" s="526">
        <v>184.95000000000002</v>
      </c>
    </row>
    <row r="123" spans="1:5">
      <c r="A123" s="521" t="s">
        <v>1858</v>
      </c>
      <c r="B123" s="539" t="s">
        <v>1869</v>
      </c>
      <c r="C123" s="539" t="s">
        <v>2030</v>
      </c>
      <c r="D123" s="521">
        <v>1</v>
      </c>
      <c r="E123" s="526">
        <v>189.93</v>
      </c>
    </row>
    <row r="124" spans="1:5">
      <c r="A124" s="521" t="s">
        <v>1858</v>
      </c>
      <c r="B124" s="539" t="s">
        <v>1859</v>
      </c>
      <c r="C124" s="539" t="s">
        <v>2031</v>
      </c>
      <c r="D124" s="521">
        <v>5</v>
      </c>
      <c r="E124" s="526">
        <v>190</v>
      </c>
    </row>
    <row r="125" spans="1:5" ht="24.75">
      <c r="A125" s="521" t="s">
        <v>1858</v>
      </c>
      <c r="B125" s="539" t="s">
        <v>2032</v>
      </c>
      <c r="C125" s="539" t="s">
        <v>2033</v>
      </c>
      <c r="D125" s="521">
        <v>1</v>
      </c>
      <c r="E125" s="526">
        <v>190.02400000000003</v>
      </c>
    </row>
    <row r="126" spans="1:5">
      <c r="A126" s="521" t="s">
        <v>1858</v>
      </c>
      <c r="B126" s="539" t="s">
        <v>1869</v>
      </c>
      <c r="C126" s="539" t="s">
        <v>2034</v>
      </c>
      <c r="D126" s="521">
        <v>1</v>
      </c>
      <c r="E126" s="526">
        <v>194</v>
      </c>
    </row>
    <row r="127" spans="1:5">
      <c r="A127" s="521" t="s">
        <v>1858</v>
      </c>
      <c r="B127" s="539" t="s">
        <v>2006</v>
      </c>
      <c r="C127" s="539" t="s">
        <v>2035</v>
      </c>
      <c r="D127" s="521">
        <v>1</v>
      </c>
      <c r="E127" s="526">
        <v>195</v>
      </c>
    </row>
    <row r="128" spans="1:5" ht="24.75">
      <c r="A128" s="521" t="s">
        <v>1858</v>
      </c>
      <c r="B128" s="539" t="s">
        <v>2036</v>
      </c>
      <c r="C128" s="539" t="s">
        <v>2037</v>
      </c>
      <c r="D128" s="521">
        <v>2</v>
      </c>
      <c r="E128" s="526">
        <v>203.3</v>
      </c>
    </row>
    <row r="129" spans="1:5">
      <c r="A129" s="521" t="s">
        <v>1858</v>
      </c>
      <c r="B129" s="539" t="s">
        <v>2006</v>
      </c>
      <c r="C129" s="539" t="s">
        <v>2038</v>
      </c>
      <c r="D129" s="521">
        <v>1</v>
      </c>
      <c r="E129" s="526">
        <v>205.4</v>
      </c>
    </row>
    <row r="130" spans="1:5">
      <c r="A130" s="521" t="s">
        <v>1895</v>
      </c>
      <c r="B130" s="539" t="s">
        <v>2039</v>
      </c>
      <c r="C130" s="539" t="s">
        <v>2040</v>
      </c>
      <c r="D130" s="521">
        <v>1</v>
      </c>
      <c r="E130" s="526">
        <v>9773.9285258548207</v>
      </c>
    </row>
    <row r="131" spans="1:5">
      <c r="A131" s="521" t="s">
        <v>1858</v>
      </c>
      <c r="B131" s="539" t="s">
        <v>1859</v>
      </c>
      <c r="C131" s="539" t="s">
        <v>2041</v>
      </c>
      <c r="D131" s="521">
        <v>1</v>
      </c>
      <c r="E131" s="526">
        <v>220.5</v>
      </c>
    </row>
    <row r="132" spans="1:5">
      <c r="A132" s="521" t="s">
        <v>1858</v>
      </c>
      <c r="B132" s="539" t="s">
        <v>2006</v>
      </c>
      <c r="C132" s="539" t="s">
        <v>2042</v>
      </c>
      <c r="D132" s="521">
        <v>1</v>
      </c>
      <c r="E132" s="526">
        <v>225</v>
      </c>
    </row>
    <row r="133" spans="1:5">
      <c r="A133" s="521" t="s">
        <v>1858</v>
      </c>
      <c r="B133" s="539" t="s">
        <v>1859</v>
      </c>
      <c r="C133" s="539" t="s">
        <v>2043</v>
      </c>
      <c r="D133" s="521">
        <v>1</v>
      </c>
      <c r="E133" s="526">
        <v>235</v>
      </c>
    </row>
    <row r="134" spans="1:5">
      <c r="A134" s="521" t="s">
        <v>1858</v>
      </c>
      <c r="B134" s="539" t="s">
        <v>1859</v>
      </c>
      <c r="C134" s="539" t="s">
        <v>2044</v>
      </c>
      <c r="D134" s="521">
        <v>1</v>
      </c>
      <c r="E134" s="526">
        <v>239.20000000000002</v>
      </c>
    </row>
    <row r="135" spans="1:5">
      <c r="A135" s="521" t="s">
        <v>1858</v>
      </c>
      <c r="B135" s="539" t="s">
        <v>2045</v>
      </c>
      <c r="C135" s="539" t="s">
        <v>2046</v>
      </c>
      <c r="D135" s="521">
        <v>1</v>
      </c>
      <c r="E135" s="526">
        <v>247.52</v>
      </c>
    </row>
    <row r="136" spans="1:5">
      <c r="A136" s="521" t="s">
        <v>1858</v>
      </c>
      <c r="B136" s="539" t="s">
        <v>1859</v>
      </c>
      <c r="C136" s="539" t="s">
        <v>2047</v>
      </c>
      <c r="D136" s="521">
        <v>1</v>
      </c>
      <c r="E136" s="526">
        <v>247.9</v>
      </c>
    </row>
    <row r="137" spans="1:5" ht="24.75">
      <c r="A137" s="521" t="s">
        <v>1858</v>
      </c>
      <c r="B137" s="539" t="s">
        <v>2048</v>
      </c>
      <c r="C137" s="539" t="s">
        <v>2049</v>
      </c>
      <c r="D137" s="521">
        <v>1</v>
      </c>
      <c r="E137" s="526">
        <v>248.93</v>
      </c>
    </row>
    <row r="138" spans="1:5" ht="24.75">
      <c r="A138" s="521" t="s">
        <v>1858</v>
      </c>
      <c r="B138" s="539" t="s">
        <v>2050</v>
      </c>
      <c r="C138" s="539" t="s">
        <v>2051</v>
      </c>
      <c r="D138" s="521">
        <v>1</v>
      </c>
      <c r="E138" s="526">
        <v>248.93130000000002</v>
      </c>
    </row>
    <row r="139" spans="1:5" ht="24.75">
      <c r="A139" s="521" t="s">
        <v>1858</v>
      </c>
      <c r="B139" s="539" t="s">
        <v>2052</v>
      </c>
      <c r="C139" s="539" t="s">
        <v>2053</v>
      </c>
      <c r="D139" s="521">
        <v>1</v>
      </c>
      <c r="E139" s="526">
        <v>250.83</v>
      </c>
    </row>
    <row r="140" spans="1:5">
      <c r="A140" s="521" t="s">
        <v>1858</v>
      </c>
      <c r="B140" s="539" t="s">
        <v>1859</v>
      </c>
      <c r="C140" s="539" t="s">
        <v>2054</v>
      </c>
      <c r="D140" s="521">
        <v>1</v>
      </c>
      <c r="E140" s="526">
        <v>255</v>
      </c>
    </row>
    <row r="141" spans="1:5">
      <c r="A141" s="521" t="s">
        <v>1858</v>
      </c>
      <c r="B141" s="539" t="s">
        <v>2055</v>
      </c>
      <c r="C141" s="539" t="s">
        <v>2056</v>
      </c>
      <c r="D141" s="521">
        <v>1</v>
      </c>
      <c r="E141" s="526">
        <v>256.53000000000003</v>
      </c>
    </row>
    <row r="142" spans="1:5">
      <c r="A142" s="521" t="s">
        <v>1858</v>
      </c>
      <c r="B142" s="539" t="s">
        <v>1859</v>
      </c>
      <c r="C142" s="539" t="s">
        <v>2057</v>
      </c>
      <c r="D142" s="521">
        <v>1</v>
      </c>
      <c r="E142" s="526">
        <v>260</v>
      </c>
    </row>
    <row r="143" spans="1:5">
      <c r="A143" s="521" t="s">
        <v>1858</v>
      </c>
      <c r="B143" s="539" t="s">
        <v>2058</v>
      </c>
      <c r="C143" s="539" t="s">
        <v>2059</v>
      </c>
      <c r="D143" s="521">
        <v>5</v>
      </c>
      <c r="E143" s="526">
        <v>260</v>
      </c>
    </row>
    <row r="144" spans="1:5">
      <c r="A144" s="521" t="s">
        <v>1858</v>
      </c>
      <c r="B144" s="539" t="s">
        <v>2058</v>
      </c>
      <c r="C144" s="539" t="s">
        <v>2060</v>
      </c>
      <c r="D144" s="521">
        <v>1</v>
      </c>
      <c r="E144" s="526">
        <v>260</v>
      </c>
    </row>
    <row r="145" spans="1:5">
      <c r="A145" s="521" t="s">
        <v>1858</v>
      </c>
      <c r="B145" s="539" t="s">
        <v>2006</v>
      </c>
      <c r="C145" s="539" t="s">
        <v>2061</v>
      </c>
      <c r="D145" s="521">
        <v>1</v>
      </c>
      <c r="E145" s="526">
        <v>264.57</v>
      </c>
    </row>
    <row r="146" spans="1:5" ht="24.75">
      <c r="A146" s="521" t="s">
        <v>1858</v>
      </c>
      <c r="B146" s="539" t="s">
        <v>2062</v>
      </c>
      <c r="C146" s="539" t="s">
        <v>2063</v>
      </c>
      <c r="D146" s="521">
        <v>1</v>
      </c>
      <c r="E146" s="526">
        <v>265.72000000000003</v>
      </c>
    </row>
    <row r="147" spans="1:5" ht="24.75">
      <c r="A147" s="521" t="s">
        <v>1858</v>
      </c>
      <c r="B147" s="539" t="s">
        <v>2064</v>
      </c>
      <c r="C147" s="539" t="s">
        <v>2065</v>
      </c>
      <c r="D147" s="521">
        <v>1</v>
      </c>
      <c r="E147" s="526">
        <v>266.00004849999999</v>
      </c>
    </row>
    <row r="148" spans="1:5" ht="24.75">
      <c r="A148" s="521" t="s">
        <v>1858</v>
      </c>
      <c r="B148" s="539" t="s">
        <v>2066</v>
      </c>
      <c r="C148" s="539" t="s">
        <v>2067</v>
      </c>
      <c r="D148" s="521">
        <v>1</v>
      </c>
      <c r="E148" s="526">
        <v>269.99782500000003</v>
      </c>
    </row>
    <row r="149" spans="1:5" ht="24.75">
      <c r="A149" s="521" t="s">
        <v>1858</v>
      </c>
      <c r="B149" s="539" t="s">
        <v>2068</v>
      </c>
      <c r="C149" s="539" t="s">
        <v>2069</v>
      </c>
      <c r="D149" s="521">
        <v>1</v>
      </c>
      <c r="E149" s="526">
        <v>269.99782500000003</v>
      </c>
    </row>
    <row r="150" spans="1:5">
      <c r="A150" s="521" t="s">
        <v>1858</v>
      </c>
      <c r="B150" s="539" t="s">
        <v>1859</v>
      </c>
      <c r="C150" s="539" t="s">
        <v>2070</v>
      </c>
      <c r="D150" s="521">
        <v>1</v>
      </c>
      <c r="E150" s="526">
        <v>270</v>
      </c>
    </row>
    <row r="151" spans="1:5">
      <c r="A151" s="521" t="s">
        <v>1858</v>
      </c>
      <c r="B151" s="539" t="s">
        <v>2058</v>
      </c>
      <c r="C151" s="539" t="s">
        <v>2071</v>
      </c>
      <c r="D151" s="521">
        <v>5</v>
      </c>
      <c r="E151" s="526">
        <v>270.3</v>
      </c>
    </row>
    <row r="152" spans="1:5">
      <c r="A152" s="521" t="s">
        <v>1858</v>
      </c>
      <c r="B152" s="539" t="s">
        <v>2006</v>
      </c>
      <c r="C152" s="539" t="s">
        <v>2072</v>
      </c>
      <c r="D152" s="521">
        <v>1</v>
      </c>
      <c r="E152" s="526">
        <v>270.39999999999998</v>
      </c>
    </row>
    <row r="153" spans="1:5">
      <c r="A153" s="521" t="s">
        <v>1858</v>
      </c>
      <c r="B153" s="539" t="s">
        <v>2006</v>
      </c>
      <c r="C153" s="539" t="s">
        <v>2073</v>
      </c>
      <c r="D153" s="521">
        <v>1</v>
      </c>
      <c r="E153" s="526">
        <v>270.39999999999998</v>
      </c>
    </row>
    <row r="154" spans="1:5">
      <c r="A154" s="521" t="s">
        <v>1858</v>
      </c>
      <c r="B154" s="539" t="s">
        <v>2006</v>
      </c>
      <c r="C154" s="539" t="s">
        <v>2074</v>
      </c>
      <c r="D154" s="521">
        <v>1</v>
      </c>
      <c r="E154" s="526">
        <v>272.48</v>
      </c>
    </row>
    <row r="155" spans="1:5">
      <c r="A155" s="521" t="s">
        <v>1858</v>
      </c>
      <c r="B155" s="539" t="s">
        <v>1859</v>
      </c>
      <c r="C155" s="539" t="s">
        <v>2075</v>
      </c>
      <c r="D155" s="521">
        <v>1</v>
      </c>
      <c r="E155" s="526">
        <v>272.48</v>
      </c>
    </row>
    <row r="156" spans="1:5">
      <c r="A156" s="521" t="s">
        <v>1858</v>
      </c>
      <c r="B156" s="539" t="s">
        <v>2058</v>
      </c>
      <c r="C156" s="539" t="s">
        <v>2076</v>
      </c>
      <c r="D156" s="521">
        <v>5</v>
      </c>
      <c r="E156" s="526">
        <v>273</v>
      </c>
    </row>
    <row r="157" spans="1:5">
      <c r="A157" s="521" t="s">
        <v>1858</v>
      </c>
      <c r="B157" s="539" t="s">
        <v>2077</v>
      </c>
      <c r="C157" s="539" t="s">
        <v>2078</v>
      </c>
      <c r="D157" s="521">
        <v>1</v>
      </c>
      <c r="E157" s="526">
        <v>276.64</v>
      </c>
    </row>
    <row r="158" spans="1:5" ht="36.75">
      <c r="A158" s="521" t="s">
        <v>1858</v>
      </c>
      <c r="B158" s="539" t="s">
        <v>2079</v>
      </c>
      <c r="C158" s="539" t="s">
        <v>2080</v>
      </c>
      <c r="D158" s="521">
        <v>1</v>
      </c>
      <c r="E158" s="526">
        <v>277.68</v>
      </c>
    </row>
    <row r="159" spans="1:5">
      <c r="A159" s="521" t="s">
        <v>1858</v>
      </c>
      <c r="B159" s="539" t="s">
        <v>2006</v>
      </c>
      <c r="C159" s="539" t="s">
        <v>2081</v>
      </c>
      <c r="D159" s="521">
        <v>1</v>
      </c>
      <c r="E159" s="526">
        <v>280</v>
      </c>
    </row>
    <row r="160" spans="1:5">
      <c r="A160" s="521" t="s">
        <v>1858</v>
      </c>
      <c r="B160" s="539" t="s">
        <v>2082</v>
      </c>
      <c r="C160" s="539" t="s">
        <v>2083</v>
      </c>
      <c r="D160" s="521">
        <v>1</v>
      </c>
      <c r="E160" s="526">
        <v>280</v>
      </c>
    </row>
    <row r="161" spans="1:5" ht="24.75">
      <c r="A161" s="521" t="s">
        <v>1858</v>
      </c>
      <c r="B161" s="539" t="s">
        <v>2084</v>
      </c>
      <c r="C161" s="539" t="s">
        <v>2085</v>
      </c>
      <c r="D161" s="521">
        <v>1</v>
      </c>
      <c r="E161" s="526">
        <v>280</v>
      </c>
    </row>
    <row r="162" spans="1:5">
      <c r="A162" s="521" t="s">
        <v>1858</v>
      </c>
      <c r="B162" s="539" t="s">
        <v>2086</v>
      </c>
      <c r="C162" s="539" t="s">
        <v>2087</v>
      </c>
      <c r="D162" s="521">
        <v>1</v>
      </c>
      <c r="E162" s="526">
        <v>280</v>
      </c>
    </row>
    <row r="163" spans="1:5">
      <c r="A163" s="521" t="s">
        <v>1895</v>
      </c>
      <c r="B163" s="539" t="s">
        <v>2088</v>
      </c>
      <c r="C163" s="539" t="s">
        <v>2089</v>
      </c>
      <c r="D163" s="521">
        <v>1</v>
      </c>
      <c r="E163" s="526">
        <v>12265.571291550941</v>
      </c>
    </row>
    <row r="164" spans="1:5" ht="48.75">
      <c r="A164" s="521" t="s">
        <v>1858</v>
      </c>
      <c r="B164" s="539" t="s">
        <v>2090</v>
      </c>
      <c r="C164" s="539" t="s">
        <v>2091</v>
      </c>
      <c r="D164" s="521">
        <v>1</v>
      </c>
      <c r="E164" s="526">
        <v>281.23599999999999</v>
      </c>
    </row>
    <row r="165" spans="1:5">
      <c r="A165" s="521" t="s">
        <v>1858</v>
      </c>
      <c r="B165" s="539" t="s">
        <v>2077</v>
      </c>
      <c r="C165" s="539" t="s">
        <v>2092</v>
      </c>
      <c r="D165" s="521">
        <v>1</v>
      </c>
      <c r="E165" s="526">
        <v>282.88</v>
      </c>
    </row>
    <row r="166" spans="1:5">
      <c r="A166" s="521" t="s">
        <v>1858</v>
      </c>
      <c r="B166" s="539" t="s">
        <v>2093</v>
      </c>
      <c r="C166" s="539" t="s">
        <v>2094</v>
      </c>
      <c r="D166" s="521">
        <v>1</v>
      </c>
      <c r="E166" s="526">
        <v>284.54000000000002</v>
      </c>
    </row>
    <row r="167" spans="1:5">
      <c r="A167" s="521" t="s">
        <v>1858</v>
      </c>
      <c r="B167" s="539" t="s">
        <v>2006</v>
      </c>
      <c r="C167" s="539" t="s">
        <v>2095</v>
      </c>
      <c r="D167" s="521">
        <v>1</v>
      </c>
      <c r="E167" s="526">
        <v>286</v>
      </c>
    </row>
    <row r="168" spans="1:5">
      <c r="A168" s="521" t="s">
        <v>1858</v>
      </c>
      <c r="B168" s="539" t="s">
        <v>2096</v>
      </c>
      <c r="C168" s="539" t="s">
        <v>2097</v>
      </c>
      <c r="D168" s="521">
        <v>1</v>
      </c>
      <c r="E168" s="526">
        <v>289.78000000000003</v>
      </c>
    </row>
    <row r="169" spans="1:5" ht="24.75">
      <c r="A169" s="521" t="s">
        <v>1858</v>
      </c>
      <c r="B169" s="539" t="s">
        <v>2098</v>
      </c>
      <c r="C169" s="539" t="s">
        <v>2099</v>
      </c>
      <c r="D169" s="521">
        <v>1</v>
      </c>
      <c r="E169" s="526">
        <v>289.786</v>
      </c>
    </row>
    <row r="170" spans="1:5">
      <c r="A170" s="521" t="s">
        <v>1858</v>
      </c>
      <c r="B170" s="539" t="s">
        <v>2100</v>
      </c>
      <c r="C170" s="539" t="s">
        <v>2101</v>
      </c>
      <c r="D170" s="521">
        <v>1</v>
      </c>
      <c r="E170" s="526">
        <v>289.78620000000001</v>
      </c>
    </row>
    <row r="171" spans="1:5" ht="48.75">
      <c r="A171" s="521" t="s">
        <v>1858</v>
      </c>
      <c r="B171" s="539" t="s">
        <v>2102</v>
      </c>
      <c r="C171" s="539" t="s">
        <v>2103</v>
      </c>
      <c r="D171" s="521">
        <v>1</v>
      </c>
      <c r="E171" s="526">
        <v>296.0009</v>
      </c>
    </row>
    <row r="172" spans="1:5" ht="24.75">
      <c r="A172" s="521" t="s">
        <v>1858</v>
      </c>
      <c r="B172" s="539" t="s">
        <v>2104</v>
      </c>
      <c r="C172" s="539" t="s">
        <v>2105</v>
      </c>
      <c r="D172" s="521">
        <v>1</v>
      </c>
      <c r="E172" s="526">
        <v>297.994325</v>
      </c>
    </row>
    <row r="173" spans="1:5" ht="24.75">
      <c r="A173" s="521" t="s">
        <v>1858</v>
      </c>
      <c r="B173" s="539" t="s">
        <v>2106</v>
      </c>
      <c r="C173" s="539" t="s">
        <v>2107</v>
      </c>
      <c r="D173" s="521">
        <v>1</v>
      </c>
      <c r="E173" s="526">
        <v>299.28740000000005</v>
      </c>
    </row>
    <row r="174" spans="1:5" ht="24.75">
      <c r="A174" s="521" t="s">
        <v>1858</v>
      </c>
      <c r="B174" s="539" t="s">
        <v>2108</v>
      </c>
      <c r="C174" s="539" t="s">
        <v>2109</v>
      </c>
      <c r="D174" s="521">
        <v>1</v>
      </c>
      <c r="E174" s="526">
        <v>300</v>
      </c>
    </row>
    <row r="175" spans="1:5">
      <c r="A175" s="521" t="s">
        <v>1858</v>
      </c>
      <c r="B175" s="539" t="s">
        <v>1859</v>
      </c>
      <c r="C175" s="539" t="s">
        <v>2110</v>
      </c>
      <c r="D175" s="521">
        <v>1</v>
      </c>
      <c r="E175" s="526">
        <v>301.60000000000002</v>
      </c>
    </row>
    <row r="176" spans="1:5">
      <c r="A176" s="521" t="s">
        <v>1895</v>
      </c>
      <c r="B176" s="539" t="s">
        <v>2111</v>
      </c>
      <c r="C176" s="539" t="s">
        <v>2112</v>
      </c>
      <c r="D176" s="525">
        <v>1</v>
      </c>
      <c r="E176" s="526">
        <v>301.60000000000002</v>
      </c>
    </row>
    <row r="177" spans="1:5">
      <c r="A177" s="521" t="s">
        <v>1858</v>
      </c>
      <c r="B177" s="539" t="s">
        <v>2113</v>
      </c>
      <c r="C177" s="539" t="s">
        <v>2114</v>
      </c>
      <c r="D177" s="521">
        <v>1</v>
      </c>
      <c r="E177" s="526">
        <v>305</v>
      </c>
    </row>
    <row r="178" spans="1:5" ht="24.75">
      <c r="A178" s="521" t="s">
        <v>1858</v>
      </c>
      <c r="B178" s="539" t="s">
        <v>2115</v>
      </c>
      <c r="C178" s="539" t="s">
        <v>2116</v>
      </c>
      <c r="D178" s="521">
        <v>1</v>
      </c>
      <c r="E178" s="526">
        <v>305</v>
      </c>
    </row>
    <row r="179" spans="1:5">
      <c r="A179" s="521" t="s">
        <v>1858</v>
      </c>
      <c r="B179" s="539" t="s">
        <v>2006</v>
      </c>
      <c r="C179" s="539" t="s">
        <v>2117</v>
      </c>
      <c r="D179" s="521">
        <v>2</v>
      </c>
      <c r="E179" s="526">
        <v>306</v>
      </c>
    </row>
    <row r="180" spans="1:5" ht="24.75">
      <c r="A180" s="521" t="s">
        <v>1858</v>
      </c>
      <c r="B180" s="539" t="s">
        <v>2118</v>
      </c>
      <c r="C180" s="539" t="s">
        <v>2119</v>
      </c>
      <c r="D180" s="521">
        <v>1</v>
      </c>
      <c r="E180" s="526">
        <v>308</v>
      </c>
    </row>
    <row r="181" spans="1:5" ht="24.75">
      <c r="A181" s="521" t="s">
        <v>1858</v>
      </c>
      <c r="B181" s="539" t="s">
        <v>2120</v>
      </c>
      <c r="C181" s="539" t="s">
        <v>2121</v>
      </c>
      <c r="D181" s="521">
        <v>1</v>
      </c>
      <c r="E181" s="526">
        <v>310</v>
      </c>
    </row>
    <row r="182" spans="1:5" ht="24.75">
      <c r="A182" s="521" t="s">
        <v>1858</v>
      </c>
      <c r="B182" s="539" t="s">
        <v>2122</v>
      </c>
      <c r="C182" s="539" t="s">
        <v>2123</v>
      </c>
      <c r="D182" s="521">
        <v>1</v>
      </c>
      <c r="E182" s="526">
        <v>318.28999999999996</v>
      </c>
    </row>
    <row r="183" spans="1:5">
      <c r="A183" s="521" t="s">
        <v>1858</v>
      </c>
      <c r="B183" s="539" t="s">
        <v>2124</v>
      </c>
      <c r="C183" s="539" t="s">
        <v>2125</v>
      </c>
      <c r="D183" s="521">
        <v>1</v>
      </c>
      <c r="E183" s="526">
        <v>319.71500000000015</v>
      </c>
    </row>
    <row r="184" spans="1:5">
      <c r="A184" s="521" t="s">
        <v>1858</v>
      </c>
      <c r="B184" s="539" t="s">
        <v>2124</v>
      </c>
      <c r="C184" s="539" t="s">
        <v>2126</v>
      </c>
      <c r="D184" s="521">
        <v>1</v>
      </c>
      <c r="E184" s="526">
        <v>319.71500000000015</v>
      </c>
    </row>
    <row r="185" spans="1:5" ht="24.75">
      <c r="A185" s="521" t="s">
        <v>1858</v>
      </c>
      <c r="B185" s="539" t="s">
        <v>2127</v>
      </c>
      <c r="C185" s="539" t="s">
        <v>2128</v>
      </c>
      <c r="D185" s="525">
        <v>1</v>
      </c>
      <c r="E185" s="526">
        <v>2115.4047945205475</v>
      </c>
    </row>
    <row r="186" spans="1:5">
      <c r="A186" s="521" t="s">
        <v>1858</v>
      </c>
      <c r="B186" s="539" t="s">
        <v>2129</v>
      </c>
      <c r="C186" s="539" t="s">
        <v>2130</v>
      </c>
      <c r="D186" s="521">
        <v>1</v>
      </c>
      <c r="E186" s="526">
        <v>322.09000000000003</v>
      </c>
    </row>
    <row r="187" spans="1:5" ht="24.75">
      <c r="A187" s="521" t="s">
        <v>1858</v>
      </c>
      <c r="B187" s="539" t="s">
        <v>2131</v>
      </c>
      <c r="C187" s="539" t="s">
        <v>2132</v>
      </c>
      <c r="D187" s="521">
        <v>1</v>
      </c>
      <c r="E187" s="526">
        <v>323</v>
      </c>
    </row>
    <row r="188" spans="1:5">
      <c r="A188" s="521" t="s">
        <v>1858</v>
      </c>
      <c r="B188" s="539" t="s">
        <v>2008</v>
      </c>
      <c r="C188" s="539" t="s">
        <v>2133</v>
      </c>
      <c r="D188" s="521">
        <v>1</v>
      </c>
      <c r="E188" s="526">
        <v>323.00001080000004</v>
      </c>
    </row>
    <row r="189" spans="1:5" ht="24.75">
      <c r="A189" s="521" t="s">
        <v>1858</v>
      </c>
      <c r="B189" s="539" t="s">
        <v>2134</v>
      </c>
      <c r="C189" s="539" t="s">
        <v>2135</v>
      </c>
      <c r="D189" s="521">
        <v>1</v>
      </c>
      <c r="E189" s="526">
        <v>323.04000000000002</v>
      </c>
    </row>
    <row r="190" spans="1:5" ht="24.75">
      <c r="A190" s="521" t="s">
        <v>1858</v>
      </c>
      <c r="B190" s="539" t="s">
        <v>2136</v>
      </c>
      <c r="C190" s="539" t="s">
        <v>2137</v>
      </c>
      <c r="D190" s="521">
        <v>1</v>
      </c>
      <c r="E190" s="526">
        <v>323.99000000000007</v>
      </c>
    </row>
    <row r="191" spans="1:5">
      <c r="A191" s="521" t="s">
        <v>1858</v>
      </c>
      <c r="B191" s="539" t="s">
        <v>2138</v>
      </c>
      <c r="C191" s="539" t="s">
        <v>2139</v>
      </c>
      <c r="D191" s="521">
        <v>1</v>
      </c>
      <c r="E191" s="526">
        <v>324</v>
      </c>
    </row>
    <row r="192" spans="1:5">
      <c r="A192" s="521" t="s">
        <v>1858</v>
      </c>
      <c r="B192" s="539" t="s">
        <v>2140</v>
      </c>
      <c r="C192" s="539" t="s">
        <v>2141</v>
      </c>
      <c r="D192" s="521">
        <v>1</v>
      </c>
      <c r="E192" s="526">
        <v>324</v>
      </c>
    </row>
    <row r="193" spans="1:5" ht="24.75">
      <c r="A193" s="521" t="s">
        <v>1858</v>
      </c>
      <c r="B193" s="539" t="s">
        <v>2142</v>
      </c>
      <c r="C193" s="539" t="s">
        <v>2143</v>
      </c>
      <c r="D193" s="521">
        <v>1</v>
      </c>
      <c r="E193" s="526">
        <v>325</v>
      </c>
    </row>
    <row r="194" spans="1:5" ht="24.75">
      <c r="A194" s="521" t="s">
        <v>1858</v>
      </c>
      <c r="B194" s="539" t="s">
        <v>2144</v>
      </c>
      <c r="C194" s="539" t="s">
        <v>2145</v>
      </c>
      <c r="D194" s="521">
        <v>1</v>
      </c>
      <c r="E194" s="526">
        <v>325</v>
      </c>
    </row>
    <row r="195" spans="1:5" ht="24.75">
      <c r="A195" s="521" t="s">
        <v>1858</v>
      </c>
      <c r="B195" s="539" t="s">
        <v>2146</v>
      </c>
      <c r="C195" s="539" t="s">
        <v>2147</v>
      </c>
      <c r="D195" s="521">
        <v>1</v>
      </c>
      <c r="E195" s="526">
        <v>325</v>
      </c>
    </row>
    <row r="196" spans="1:5">
      <c r="A196" s="521" t="s">
        <v>1858</v>
      </c>
      <c r="B196" s="539" t="s">
        <v>2148</v>
      </c>
      <c r="C196" s="539" t="s">
        <v>2149</v>
      </c>
      <c r="D196" s="521">
        <v>1</v>
      </c>
      <c r="E196" s="526">
        <v>325</v>
      </c>
    </row>
    <row r="197" spans="1:5" ht="24.75">
      <c r="A197" s="521" t="s">
        <v>1858</v>
      </c>
      <c r="B197" s="539" t="s">
        <v>2150</v>
      </c>
      <c r="C197" s="539" t="s">
        <v>2151</v>
      </c>
      <c r="D197" s="521">
        <v>1</v>
      </c>
      <c r="E197" s="526">
        <v>327.791</v>
      </c>
    </row>
    <row r="198" spans="1:5">
      <c r="A198" s="521" t="s">
        <v>1858</v>
      </c>
      <c r="B198" s="539" t="s">
        <v>2152</v>
      </c>
      <c r="C198" s="539" t="s">
        <v>2153</v>
      </c>
      <c r="D198" s="521">
        <v>1</v>
      </c>
      <c r="E198" s="526">
        <v>328.90000000000003</v>
      </c>
    </row>
    <row r="199" spans="1:5" ht="36.75">
      <c r="A199" s="521" t="s">
        <v>1858</v>
      </c>
      <c r="B199" s="539" t="s">
        <v>2154</v>
      </c>
      <c r="C199" s="539" t="s">
        <v>2155</v>
      </c>
      <c r="D199" s="521">
        <v>2</v>
      </c>
      <c r="E199" s="526">
        <v>330</v>
      </c>
    </row>
    <row r="200" spans="1:5">
      <c r="A200" s="521" t="s">
        <v>1858</v>
      </c>
      <c r="B200" s="539" t="s">
        <v>2006</v>
      </c>
      <c r="C200" s="539" t="s">
        <v>2156</v>
      </c>
      <c r="D200" s="525">
        <v>1</v>
      </c>
      <c r="E200" s="526">
        <v>8723.445205479451</v>
      </c>
    </row>
    <row r="201" spans="1:5">
      <c r="A201" s="521" t="s">
        <v>1858</v>
      </c>
      <c r="B201" s="539" t="s">
        <v>2157</v>
      </c>
      <c r="C201" s="539" t="s">
        <v>2158</v>
      </c>
      <c r="D201" s="521">
        <v>1</v>
      </c>
      <c r="E201" s="526">
        <v>332.54140000000001</v>
      </c>
    </row>
    <row r="202" spans="1:5" ht="24.75">
      <c r="A202" s="521" t="s">
        <v>1858</v>
      </c>
      <c r="B202" s="539" t="s">
        <v>2159</v>
      </c>
      <c r="C202" s="539" t="s">
        <v>2160</v>
      </c>
      <c r="D202" s="521">
        <v>1</v>
      </c>
      <c r="E202" s="526">
        <v>339.95749999999998</v>
      </c>
    </row>
    <row r="203" spans="1:5">
      <c r="A203" s="521" t="s">
        <v>1858</v>
      </c>
      <c r="B203" s="539" t="s">
        <v>2161</v>
      </c>
      <c r="C203" s="539" t="s">
        <v>2162</v>
      </c>
      <c r="D203" s="521">
        <v>1</v>
      </c>
      <c r="E203" s="526">
        <v>339.99959999999999</v>
      </c>
    </row>
    <row r="204" spans="1:5">
      <c r="A204" s="521" t="s">
        <v>1858</v>
      </c>
      <c r="B204" s="539" t="s">
        <v>1834</v>
      </c>
      <c r="C204" s="539" t="s">
        <v>2163</v>
      </c>
      <c r="D204" s="521">
        <v>1</v>
      </c>
      <c r="E204" s="526">
        <v>340</v>
      </c>
    </row>
    <row r="205" spans="1:5">
      <c r="A205" s="521" t="s">
        <v>1858</v>
      </c>
      <c r="B205" s="539" t="s">
        <v>2164</v>
      </c>
      <c r="C205" s="539" t="s">
        <v>2165</v>
      </c>
      <c r="D205" s="521">
        <v>1</v>
      </c>
      <c r="E205" s="526">
        <v>340</v>
      </c>
    </row>
    <row r="206" spans="1:5">
      <c r="A206" s="521" t="s">
        <v>1858</v>
      </c>
      <c r="B206" s="539" t="s">
        <v>1859</v>
      </c>
      <c r="C206" s="539" t="s">
        <v>2166</v>
      </c>
      <c r="D206" s="521">
        <v>1</v>
      </c>
      <c r="E206" s="526">
        <v>340.5</v>
      </c>
    </row>
    <row r="207" spans="1:5">
      <c r="A207" s="521" t="s">
        <v>1895</v>
      </c>
      <c r="B207" s="539" t="s">
        <v>2167</v>
      </c>
      <c r="C207" s="539" t="s">
        <v>2168</v>
      </c>
      <c r="D207" s="525">
        <v>1</v>
      </c>
      <c r="E207" s="526">
        <v>343.2</v>
      </c>
    </row>
    <row r="208" spans="1:5">
      <c r="A208" s="521" t="s">
        <v>1858</v>
      </c>
      <c r="B208" s="539" t="s">
        <v>2169</v>
      </c>
      <c r="C208" s="539" t="s">
        <v>2170</v>
      </c>
      <c r="D208" s="525">
        <v>1</v>
      </c>
      <c r="E208" s="526">
        <v>8804.8972602739723</v>
      </c>
    </row>
    <row r="209" spans="1:5" ht="24.75">
      <c r="A209" s="521" t="s">
        <v>1858</v>
      </c>
      <c r="B209" s="539" t="s">
        <v>2171</v>
      </c>
      <c r="C209" s="539" t="s">
        <v>2172</v>
      </c>
      <c r="D209" s="521">
        <v>1</v>
      </c>
      <c r="E209" s="526">
        <v>346.79</v>
      </c>
    </row>
    <row r="210" spans="1:5">
      <c r="A210" s="521" t="s">
        <v>1858</v>
      </c>
      <c r="B210" s="539" t="s">
        <v>2173</v>
      </c>
      <c r="C210" s="539" t="s">
        <v>2174</v>
      </c>
      <c r="D210" s="525">
        <v>1</v>
      </c>
      <c r="E210" s="526">
        <v>3703.868493150685</v>
      </c>
    </row>
    <row r="211" spans="1:5">
      <c r="A211" s="521" t="s">
        <v>1858</v>
      </c>
      <c r="B211" s="539" t="s">
        <v>2175</v>
      </c>
      <c r="C211" s="539" t="s">
        <v>2176</v>
      </c>
      <c r="D211" s="521">
        <v>1</v>
      </c>
      <c r="E211" s="526">
        <v>350</v>
      </c>
    </row>
    <row r="212" spans="1:5">
      <c r="A212" s="521" t="s">
        <v>1858</v>
      </c>
      <c r="B212" s="539" t="s">
        <v>2006</v>
      </c>
      <c r="C212" s="539" t="s">
        <v>2177</v>
      </c>
      <c r="D212" s="521">
        <v>1</v>
      </c>
      <c r="E212" s="526">
        <v>350</v>
      </c>
    </row>
    <row r="213" spans="1:5" ht="24.75">
      <c r="A213" s="521" t="s">
        <v>1858</v>
      </c>
      <c r="B213" s="539" t="s">
        <v>2178</v>
      </c>
      <c r="C213" s="539" t="s">
        <v>2179</v>
      </c>
      <c r="D213" s="525">
        <v>1</v>
      </c>
      <c r="E213" s="526">
        <v>350</v>
      </c>
    </row>
    <row r="214" spans="1:5">
      <c r="A214" s="521" t="s">
        <v>1895</v>
      </c>
      <c r="B214" s="539" t="s">
        <v>1911</v>
      </c>
      <c r="C214" s="539" t="s">
        <v>2180</v>
      </c>
      <c r="D214" s="525">
        <v>1</v>
      </c>
      <c r="E214" s="526">
        <v>354.392</v>
      </c>
    </row>
    <row r="215" spans="1:5">
      <c r="A215" s="521" t="s">
        <v>1858</v>
      </c>
      <c r="B215" s="539" t="s">
        <v>2181</v>
      </c>
      <c r="C215" s="539" t="s">
        <v>2182</v>
      </c>
      <c r="D215" s="521">
        <v>2</v>
      </c>
      <c r="E215" s="526">
        <v>357.99739999999997</v>
      </c>
    </row>
    <row r="216" spans="1:5" ht="24.75">
      <c r="A216" s="521" t="s">
        <v>1858</v>
      </c>
      <c r="B216" s="539" t="s">
        <v>2183</v>
      </c>
      <c r="C216" s="539" t="s">
        <v>2184</v>
      </c>
      <c r="D216" s="521">
        <v>1</v>
      </c>
      <c r="E216" s="526">
        <v>373.00073750000001</v>
      </c>
    </row>
    <row r="217" spans="1:5">
      <c r="A217" s="521" t="s">
        <v>1858</v>
      </c>
      <c r="B217" s="539" t="s">
        <v>1859</v>
      </c>
      <c r="C217" s="539" t="s">
        <v>2185</v>
      </c>
      <c r="D217" s="521">
        <v>5</v>
      </c>
      <c r="E217" s="526">
        <v>373.98</v>
      </c>
    </row>
    <row r="218" spans="1:5">
      <c r="A218" s="521" t="s">
        <v>1858</v>
      </c>
      <c r="B218" s="539" t="s">
        <v>1859</v>
      </c>
      <c r="C218" s="539" t="s">
        <v>2186</v>
      </c>
      <c r="D218" s="521">
        <v>1</v>
      </c>
      <c r="E218" s="526">
        <v>374.23</v>
      </c>
    </row>
    <row r="219" spans="1:5" ht="24.75">
      <c r="A219" s="521" t="s">
        <v>1858</v>
      </c>
      <c r="B219" s="539" t="s">
        <v>2187</v>
      </c>
      <c r="C219" s="539" t="s">
        <v>2188</v>
      </c>
      <c r="D219" s="521">
        <v>1</v>
      </c>
      <c r="E219" s="526">
        <v>374.40000000000003</v>
      </c>
    </row>
    <row r="220" spans="1:5">
      <c r="A220" s="521" t="s">
        <v>1858</v>
      </c>
      <c r="B220" s="539" t="s">
        <v>2148</v>
      </c>
      <c r="C220" s="539" t="s">
        <v>2189</v>
      </c>
      <c r="D220" s="521">
        <v>1</v>
      </c>
      <c r="E220" s="526">
        <v>376.11000000000013</v>
      </c>
    </row>
    <row r="221" spans="1:5" ht="24.75">
      <c r="A221" s="521" t="s">
        <v>1895</v>
      </c>
      <c r="B221" s="539" t="s">
        <v>2190</v>
      </c>
      <c r="C221" s="539" t="s">
        <v>2191</v>
      </c>
      <c r="D221" s="521">
        <v>1</v>
      </c>
      <c r="E221" s="526">
        <v>377.40000000000009</v>
      </c>
    </row>
    <row r="222" spans="1:5">
      <c r="A222" s="521" t="s">
        <v>1858</v>
      </c>
      <c r="B222" s="539" t="s">
        <v>2192</v>
      </c>
      <c r="C222" s="539" t="s">
        <v>2193</v>
      </c>
      <c r="D222" s="521">
        <v>1</v>
      </c>
      <c r="E222" s="526">
        <v>380</v>
      </c>
    </row>
    <row r="223" spans="1:5" ht="24.75">
      <c r="A223" s="521" t="s">
        <v>1858</v>
      </c>
      <c r="B223" s="539" t="s">
        <v>2194</v>
      </c>
      <c r="C223" s="539" t="s">
        <v>2195</v>
      </c>
      <c r="D223" s="521">
        <v>1</v>
      </c>
      <c r="E223" s="526">
        <v>380.04800000000006</v>
      </c>
    </row>
    <row r="224" spans="1:5">
      <c r="A224" s="521" t="s">
        <v>1858</v>
      </c>
      <c r="B224" s="539" t="s">
        <v>2077</v>
      </c>
      <c r="C224" s="539" t="s">
        <v>2196</v>
      </c>
      <c r="D224" s="521">
        <v>1</v>
      </c>
      <c r="E224" s="526">
        <v>380.12</v>
      </c>
    </row>
    <row r="225" spans="1:5">
      <c r="A225" s="521" t="s">
        <v>1858</v>
      </c>
      <c r="B225" s="539" t="s">
        <v>2197</v>
      </c>
      <c r="C225" s="539" t="s">
        <v>2198</v>
      </c>
      <c r="D225" s="521">
        <v>1</v>
      </c>
      <c r="E225" s="526">
        <v>381.44</v>
      </c>
    </row>
    <row r="226" spans="1:5">
      <c r="A226" s="521" t="s">
        <v>1858</v>
      </c>
      <c r="B226" s="539" t="s">
        <v>2199</v>
      </c>
      <c r="C226" s="539" t="s">
        <v>2200</v>
      </c>
      <c r="D226" s="521">
        <v>1</v>
      </c>
      <c r="E226" s="526">
        <v>386.69819999999999</v>
      </c>
    </row>
    <row r="227" spans="1:5">
      <c r="A227" s="521" t="s">
        <v>1895</v>
      </c>
      <c r="B227" s="539" t="s">
        <v>1911</v>
      </c>
      <c r="C227" s="539" t="s">
        <v>2201</v>
      </c>
      <c r="D227" s="525">
        <v>1</v>
      </c>
      <c r="E227" s="526">
        <v>387.5</v>
      </c>
    </row>
    <row r="228" spans="1:5">
      <c r="A228" s="521" t="s">
        <v>1858</v>
      </c>
      <c r="B228" s="539" t="s">
        <v>2197</v>
      </c>
      <c r="C228" s="539" t="s">
        <v>2202</v>
      </c>
      <c r="D228" s="521">
        <v>1</v>
      </c>
      <c r="E228" s="526">
        <v>390</v>
      </c>
    </row>
    <row r="229" spans="1:5">
      <c r="A229" s="521" t="s">
        <v>1858</v>
      </c>
      <c r="B229" s="539" t="s">
        <v>1859</v>
      </c>
      <c r="C229" s="539" t="s">
        <v>2203</v>
      </c>
      <c r="D229" s="521">
        <v>202</v>
      </c>
      <c r="E229" s="526">
        <v>393.14</v>
      </c>
    </row>
    <row r="230" spans="1:5">
      <c r="A230" s="521" t="s">
        <v>1858</v>
      </c>
      <c r="B230" s="539" t="s">
        <v>2204</v>
      </c>
      <c r="C230" s="539" t="s">
        <v>2205</v>
      </c>
      <c r="D230" s="521">
        <v>1</v>
      </c>
      <c r="E230" s="526">
        <v>394.40000000000003</v>
      </c>
    </row>
    <row r="231" spans="1:5" ht="24.75">
      <c r="A231" s="521" t="s">
        <v>1858</v>
      </c>
      <c r="B231" s="539" t="s">
        <v>2206</v>
      </c>
      <c r="C231" s="539" t="s">
        <v>2207</v>
      </c>
      <c r="D231" s="521">
        <v>3</v>
      </c>
      <c r="E231" s="526">
        <v>398.61</v>
      </c>
    </row>
    <row r="232" spans="1:5">
      <c r="A232" s="521" t="s">
        <v>1858</v>
      </c>
      <c r="B232" s="539" t="s">
        <v>2208</v>
      </c>
      <c r="C232" s="539" t="s">
        <v>2209</v>
      </c>
      <c r="D232" s="521">
        <v>1</v>
      </c>
      <c r="E232" s="526">
        <v>407.6</v>
      </c>
    </row>
    <row r="233" spans="1:5">
      <c r="A233" s="521" t="s">
        <v>1858</v>
      </c>
      <c r="B233" s="539" t="s">
        <v>2006</v>
      </c>
      <c r="C233" s="539" t="s">
        <v>2210</v>
      </c>
      <c r="D233" s="521">
        <v>1</v>
      </c>
      <c r="E233" s="526">
        <v>421.2</v>
      </c>
    </row>
    <row r="234" spans="1:5">
      <c r="A234" s="521" t="s">
        <v>1858</v>
      </c>
      <c r="B234" s="539" t="s">
        <v>2211</v>
      </c>
      <c r="C234" s="539" t="s">
        <v>2212</v>
      </c>
      <c r="D234" s="525">
        <v>1</v>
      </c>
      <c r="E234" s="526">
        <v>8673.4041095890425</v>
      </c>
    </row>
    <row r="235" spans="1:5">
      <c r="A235" s="521" t="s">
        <v>1858</v>
      </c>
      <c r="B235" s="539" t="s">
        <v>2008</v>
      </c>
      <c r="C235" s="539" t="s">
        <v>2213</v>
      </c>
      <c r="D235" s="521">
        <v>1</v>
      </c>
      <c r="E235" s="526">
        <v>423</v>
      </c>
    </row>
    <row r="236" spans="1:5" ht="24.75">
      <c r="A236" s="521" t="s">
        <v>1858</v>
      </c>
      <c r="B236" s="539" t="s">
        <v>2214</v>
      </c>
      <c r="C236" s="539" t="s">
        <v>2215</v>
      </c>
      <c r="D236" s="521">
        <v>1</v>
      </c>
      <c r="E236" s="526">
        <v>427.45949999999999</v>
      </c>
    </row>
    <row r="237" spans="1:5">
      <c r="A237" s="521" t="s">
        <v>1858</v>
      </c>
      <c r="B237" s="539" t="s">
        <v>2216</v>
      </c>
      <c r="C237" s="539" t="s">
        <v>2217</v>
      </c>
      <c r="D237" s="521">
        <v>1</v>
      </c>
      <c r="E237" s="526">
        <v>427.46219999999988</v>
      </c>
    </row>
    <row r="238" spans="1:5" ht="24.75">
      <c r="A238" s="521" t="s">
        <v>1858</v>
      </c>
      <c r="B238" s="539" t="s">
        <v>2218</v>
      </c>
      <c r="C238" s="539" t="s">
        <v>2219</v>
      </c>
      <c r="D238" s="521">
        <v>1</v>
      </c>
      <c r="E238" s="526">
        <v>431.6</v>
      </c>
    </row>
    <row r="239" spans="1:5">
      <c r="A239" s="521" t="s">
        <v>1858</v>
      </c>
      <c r="B239" s="539" t="s">
        <v>2220</v>
      </c>
      <c r="C239" s="539" t="s">
        <v>2221</v>
      </c>
      <c r="D239" s="521">
        <v>1</v>
      </c>
      <c r="E239" s="526">
        <v>440</v>
      </c>
    </row>
    <row r="240" spans="1:5">
      <c r="A240" s="521" t="s">
        <v>1858</v>
      </c>
      <c r="B240" s="539" t="s">
        <v>2148</v>
      </c>
      <c r="C240" s="539" t="s">
        <v>2222</v>
      </c>
      <c r="D240" s="521">
        <v>1</v>
      </c>
      <c r="E240" s="526">
        <v>464.90000000000009</v>
      </c>
    </row>
    <row r="241" spans="1:5">
      <c r="A241" s="521" t="s">
        <v>1858</v>
      </c>
      <c r="B241" s="539" t="s">
        <v>1859</v>
      </c>
      <c r="C241" s="539" t="s">
        <v>2223</v>
      </c>
      <c r="D241" s="521">
        <v>1</v>
      </c>
      <c r="E241" s="526">
        <v>474.15212500000001</v>
      </c>
    </row>
    <row r="242" spans="1:5">
      <c r="A242" s="521" t="s">
        <v>1858</v>
      </c>
      <c r="B242" s="539" t="s">
        <v>2224</v>
      </c>
      <c r="C242" s="539" t="s">
        <v>2225</v>
      </c>
      <c r="D242" s="525">
        <v>1</v>
      </c>
      <c r="E242" s="526">
        <v>12475.993150684932</v>
      </c>
    </row>
    <row r="243" spans="1:5" ht="24.75">
      <c r="A243" s="521" t="s">
        <v>1858</v>
      </c>
      <c r="B243" s="539" t="s">
        <v>2226</v>
      </c>
      <c r="C243" s="539" t="s">
        <v>2227</v>
      </c>
      <c r="D243" s="525">
        <v>1</v>
      </c>
      <c r="E243" s="526">
        <v>4078.4109589041091</v>
      </c>
    </row>
    <row r="244" spans="1:5">
      <c r="A244" s="521" t="s">
        <v>1858</v>
      </c>
      <c r="B244" s="539" t="s">
        <v>2006</v>
      </c>
      <c r="C244" s="539" t="s">
        <v>2228</v>
      </c>
      <c r="D244" s="521">
        <v>1</v>
      </c>
      <c r="E244" s="526">
        <v>490.48</v>
      </c>
    </row>
    <row r="245" spans="1:5" ht="36.75">
      <c r="A245" s="521" t="s">
        <v>1858</v>
      </c>
      <c r="B245" s="539" t="s">
        <v>2229</v>
      </c>
      <c r="C245" s="539" t="s">
        <v>2230</v>
      </c>
      <c r="D245" s="521">
        <v>3</v>
      </c>
      <c r="E245" s="526">
        <v>495</v>
      </c>
    </row>
    <row r="246" spans="1:5" ht="24.75">
      <c r="A246" s="521" t="s">
        <v>1858</v>
      </c>
      <c r="B246" s="539" t="s">
        <v>2231</v>
      </c>
      <c r="C246" s="539" t="s">
        <v>2232</v>
      </c>
      <c r="D246" s="521">
        <v>2</v>
      </c>
      <c r="E246" s="526">
        <v>495</v>
      </c>
    </row>
    <row r="247" spans="1:5" ht="24.75">
      <c r="A247" s="521" t="s">
        <v>1858</v>
      </c>
      <c r="B247" s="539" t="s">
        <v>2233</v>
      </c>
      <c r="C247" s="539" t="s">
        <v>2234</v>
      </c>
      <c r="D247" s="521">
        <v>2</v>
      </c>
      <c r="E247" s="526">
        <v>497.86220000000003</v>
      </c>
    </row>
    <row r="248" spans="1:5" ht="24.75">
      <c r="A248" s="521" t="s">
        <v>1858</v>
      </c>
      <c r="B248" s="539" t="s">
        <v>2235</v>
      </c>
      <c r="C248" s="539" t="s">
        <v>2236</v>
      </c>
      <c r="D248" s="521">
        <v>2</v>
      </c>
      <c r="E248" s="526">
        <v>497.86290000000002</v>
      </c>
    </row>
    <row r="249" spans="1:5">
      <c r="A249" s="521" t="s">
        <v>1858</v>
      </c>
      <c r="B249" s="539" t="s">
        <v>2148</v>
      </c>
      <c r="C249" s="539" t="s">
        <v>2237</v>
      </c>
      <c r="D249" s="521">
        <v>1</v>
      </c>
      <c r="E249" s="526">
        <v>500</v>
      </c>
    </row>
    <row r="250" spans="1:5">
      <c r="A250" s="521" t="s">
        <v>1858</v>
      </c>
      <c r="B250" s="539" t="s">
        <v>2006</v>
      </c>
      <c r="C250" s="539" t="s">
        <v>2238</v>
      </c>
      <c r="D250" s="521">
        <v>1</v>
      </c>
      <c r="E250" s="526">
        <v>513.24</v>
      </c>
    </row>
    <row r="251" spans="1:5">
      <c r="A251" s="521" t="s">
        <v>1858</v>
      </c>
      <c r="B251" s="539" t="s">
        <v>2086</v>
      </c>
      <c r="C251" s="539" t="s">
        <v>2239</v>
      </c>
      <c r="D251" s="521">
        <v>2</v>
      </c>
      <c r="E251" s="526">
        <v>518.76</v>
      </c>
    </row>
    <row r="252" spans="1:5" ht="24.75">
      <c r="A252" s="521" t="s">
        <v>1858</v>
      </c>
      <c r="B252" s="539" t="s">
        <v>2240</v>
      </c>
      <c r="C252" s="539" t="s">
        <v>2241</v>
      </c>
      <c r="D252" s="521">
        <v>1</v>
      </c>
      <c r="E252" s="526">
        <v>528.36</v>
      </c>
    </row>
    <row r="253" spans="1:5">
      <c r="A253" s="521" t="s">
        <v>1858</v>
      </c>
      <c r="B253" s="539" t="s">
        <v>1859</v>
      </c>
      <c r="C253" s="539" t="s">
        <v>2242</v>
      </c>
      <c r="D253" s="521">
        <v>1</v>
      </c>
      <c r="E253" s="526">
        <v>532.48</v>
      </c>
    </row>
    <row r="254" spans="1:5" ht="24.75">
      <c r="A254" s="521" t="s">
        <v>1858</v>
      </c>
      <c r="B254" s="539" t="s">
        <v>2243</v>
      </c>
      <c r="C254" s="539" t="s">
        <v>2244</v>
      </c>
      <c r="D254" s="521">
        <v>1</v>
      </c>
      <c r="E254" s="526">
        <v>540</v>
      </c>
    </row>
    <row r="255" spans="1:5">
      <c r="A255" s="521" t="s">
        <v>1858</v>
      </c>
      <c r="B255" s="539" t="s">
        <v>2245</v>
      </c>
      <c r="C255" s="539" t="s">
        <v>2246</v>
      </c>
      <c r="D255" s="521">
        <v>1</v>
      </c>
      <c r="E255" s="526">
        <v>540.79999999999995</v>
      </c>
    </row>
    <row r="256" spans="1:5">
      <c r="A256" s="521" t="s">
        <v>1858</v>
      </c>
      <c r="B256" s="539" t="s">
        <v>2152</v>
      </c>
      <c r="C256" s="539" t="s">
        <v>2247</v>
      </c>
      <c r="D256" s="521">
        <v>1</v>
      </c>
      <c r="E256" s="526">
        <v>550</v>
      </c>
    </row>
    <row r="257" spans="1:5" ht="24.75">
      <c r="A257" s="521" t="s">
        <v>1858</v>
      </c>
      <c r="B257" s="539" t="s">
        <v>2062</v>
      </c>
      <c r="C257" s="539" t="s">
        <v>2248</v>
      </c>
      <c r="D257" s="521">
        <v>1</v>
      </c>
      <c r="E257" s="526">
        <v>552.24</v>
      </c>
    </row>
    <row r="258" spans="1:5">
      <c r="A258" s="521" t="s">
        <v>1858</v>
      </c>
      <c r="B258" s="539" t="s">
        <v>2175</v>
      </c>
      <c r="C258" s="539" t="s">
        <v>2249</v>
      </c>
      <c r="D258" s="521">
        <v>1</v>
      </c>
      <c r="E258" s="526">
        <v>557.69000000000005</v>
      </c>
    </row>
    <row r="259" spans="1:5" ht="24.75">
      <c r="A259" s="521" t="s">
        <v>1858</v>
      </c>
      <c r="B259" s="539" t="s">
        <v>2250</v>
      </c>
      <c r="C259" s="539" t="s">
        <v>2251</v>
      </c>
      <c r="D259" s="521">
        <v>1</v>
      </c>
      <c r="E259" s="526">
        <v>560</v>
      </c>
    </row>
    <row r="260" spans="1:5">
      <c r="A260" s="521" t="s">
        <v>1858</v>
      </c>
      <c r="B260" s="539" t="s">
        <v>2252</v>
      </c>
      <c r="C260" s="539" t="s">
        <v>2253</v>
      </c>
      <c r="D260" s="525">
        <v>1</v>
      </c>
      <c r="E260" s="526">
        <v>14890.381506849313</v>
      </c>
    </row>
    <row r="261" spans="1:5">
      <c r="A261" s="521" t="s">
        <v>1858</v>
      </c>
      <c r="B261" s="539" t="s">
        <v>2254</v>
      </c>
      <c r="C261" s="539" t="s">
        <v>2255</v>
      </c>
      <c r="D261" s="521">
        <v>1</v>
      </c>
      <c r="E261" s="526">
        <v>570.07129999999995</v>
      </c>
    </row>
    <row r="262" spans="1:5">
      <c r="A262" s="521" t="s">
        <v>1858</v>
      </c>
      <c r="B262" s="539" t="s">
        <v>2006</v>
      </c>
      <c r="C262" s="539" t="s">
        <v>2256</v>
      </c>
      <c r="D262" s="521">
        <v>1</v>
      </c>
      <c r="E262" s="526">
        <v>575</v>
      </c>
    </row>
    <row r="263" spans="1:5">
      <c r="A263" s="521" t="s">
        <v>1858</v>
      </c>
      <c r="B263" s="539" t="s">
        <v>2257</v>
      </c>
      <c r="C263" s="539" t="s">
        <v>2258</v>
      </c>
      <c r="D263" s="521">
        <v>1</v>
      </c>
      <c r="E263" s="526">
        <v>582.4</v>
      </c>
    </row>
    <row r="264" spans="1:5">
      <c r="A264" s="521" t="s">
        <v>1858</v>
      </c>
      <c r="B264" s="539" t="s">
        <v>2181</v>
      </c>
      <c r="C264" s="539" t="s">
        <v>2259</v>
      </c>
      <c r="D264" s="521">
        <v>1</v>
      </c>
      <c r="E264" s="526">
        <v>596</v>
      </c>
    </row>
    <row r="265" spans="1:5" ht="24.75">
      <c r="A265" s="521" t="s">
        <v>1858</v>
      </c>
      <c r="B265" s="539" t="s">
        <v>2260</v>
      </c>
      <c r="C265" s="539" t="s">
        <v>2261</v>
      </c>
      <c r="D265" s="521">
        <v>1</v>
      </c>
      <c r="E265" s="526">
        <v>600</v>
      </c>
    </row>
    <row r="266" spans="1:5">
      <c r="A266" s="521" t="s">
        <v>1858</v>
      </c>
      <c r="B266" s="539" t="s">
        <v>2262</v>
      </c>
      <c r="C266" s="539" t="s">
        <v>2263</v>
      </c>
      <c r="D266" s="521">
        <v>2</v>
      </c>
      <c r="E266" s="526">
        <v>616</v>
      </c>
    </row>
    <row r="267" spans="1:5">
      <c r="A267" s="521" t="s">
        <v>1858</v>
      </c>
      <c r="B267" s="539" t="s">
        <v>2264</v>
      </c>
      <c r="C267" s="539" t="s">
        <v>2265</v>
      </c>
      <c r="D267" s="521">
        <v>1</v>
      </c>
      <c r="E267" s="526">
        <v>630</v>
      </c>
    </row>
    <row r="268" spans="1:5" ht="24.75">
      <c r="A268" s="521" t="s">
        <v>1858</v>
      </c>
      <c r="B268" s="539" t="s">
        <v>2266</v>
      </c>
      <c r="C268" s="539" t="s">
        <v>2267</v>
      </c>
      <c r="D268" s="521">
        <v>2</v>
      </c>
      <c r="E268" s="526">
        <v>644.18000000000006</v>
      </c>
    </row>
    <row r="269" spans="1:5">
      <c r="A269" s="521" t="s">
        <v>1858</v>
      </c>
      <c r="B269" s="539" t="s">
        <v>2138</v>
      </c>
      <c r="C269" s="539" t="s">
        <v>2268</v>
      </c>
      <c r="D269" s="521">
        <v>2</v>
      </c>
      <c r="E269" s="526">
        <v>648</v>
      </c>
    </row>
    <row r="270" spans="1:5" ht="24.75">
      <c r="A270" s="521" t="s">
        <v>1858</v>
      </c>
      <c r="B270" s="539" t="s">
        <v>2269</v>
      </c>
      <c r="C270" s="539" t="s">
        <v>2270</v>
      </c>
      <c r="D270" s="525">
        <v>1</v>
      </c>
      <c r="E270" s="526">
        <v>6350.4109589041109</v>
      </c>
    </row>
    <row r="271" spans="1:5" ht="24.75">
      <c r="A271" s="521" t="s">
        <v>1858</v>
      </c>
      <c r="B271" s="539" t="s">
        <v>2271</v>
      </c>
      <c r="C271" s="539" t="s">
        <v>2272</v>
      </c>
      <c r="D271" s="521">
        <v>1</v>
      </c>
      <c r="E271" s="526">
        <v>652.73159999999916</v>
      </c>
    </row>
    <row r="272" spans="1:5">
      <c r="A272" s="521" t="s">
        <v>1858</v>
      </c>
      <c r="B272" s="539" t="s">
        <v>2129</v>
      </c>
      <c r="C272" s="539" t="s">
        <v>2273</v>
      </c>
      <c r="D272" s="521">
        <v>1</v>
      </c>
      <c r="E272" s="526">
        <v>655.58199999999999</v>
      </c>
    </row>
    <row r="273" spans="1:5">
      <c r="A273" s="521" t="s">
        <v>1858</v>
      </c>
      <c r="B273" s="539" t="s">
        <v>2274</v>
      </c>
      <c r="C273" s="539" t="s">
        <v>2275</v>
      </c>
      <c r="D273" s="521">
        <v>2</v>
      </c>
      <c r="E273" s="526">
        <v>658.43000000000006</v>
      </c>
    </row>
    <row r="274" spans="1:5">
      <c r="A274" s="521" t="s">
        <v>1858</v>
      </c>
      <c r="B274" s="539" t="s">
        <v>2276</v>
      </c>
      <c r="C274" s="539" t="s">
        <v>2277</v>
      </c>
      <c r="D274" s="521">
        <v>1</v>
      </c>
      <c r="E274" s="526">
        <v>682.69</v>
      </c>
    </row>
    <row r="275" spans="1:5">
      <c r="A275" s="521" t="s">
        <v>1858</v>
      </c>
      <c r="B275" s="539" t="s">
        <v>2173</v>
      </c>
      <c r="C275" s="539" t="s">
        <v>2278</v>
      </c>
      <c r="D275" s="525">
        <v>1</v>
      </c>
      <c r="E275" s="526">
        <v>6843.0301369863009</v>
      </c>
    </row>
    <row r="276" spans="1:5">
      <c r="A276" s="521" t="s">
        <v>1858</v>
      </c>
      <c r="B276" s="539" t="s">
        <v>2279</v>
      </c>
      <c r="C276" s="539" t="s">
        <v>2280</v>
      </c>
      <c r="D276" s="525">
        <v>1</v>
      </c>
      <c r="E276" s="526">
        <v>4749.3397260273996</v>
      </c>
    </row>
    <row r="277" spans="1:5">
      <c r="A277" s="521" t="s">
        <v>1858</v>
      </c>
      <c r="B277" s="539" t="s">
        <v>2006</v>
      </c>
      <c r="C277" s="539" t="s">
        <v>2281</v>
      </c>
      <c r="D277" s="521">
        <v>5</v>
      </c>
      <c r="E277" s="526">
        <v>765</v>
      </c>
    </row>
    <row r="278" spans="1:5">
      <c r="A278" s="521" t="s">
        <v>1858</v>
      </c>
      <c r="B278" s="539" t="s">
        <v>2282</v>
      </c>
      <c r="C278" s="539" t="s">
        <v>2283</v>
      </c>
      <c r="D278" s="521">
        <v>3</v>
      </c>
      <c r="E278" s="526">
        <v>780.99</v>
      </c>
    </row>
    <row r="279" spans="1:5">
      <c r="A279" s="521" t="s">
        <v>1858</v>
      </c>
      <c r="B279" s="539" t="s">
        <v>2284</v>
      </c>
      <c r="C279" s="539" t="s">
        <v>2285</v>
      </c>
      <c r="D279" s="521">
        <v>1</v>
      </c>
      <c r="E279" s="526">
        <v>787.5</v>
      </c>
    </row>
    <row r="280" spans="1:5">
      <c r="A280" s="521" t="s">
        <v>1895</v>
      </c>
      <c r="B280" s="539" t="s">
        <v>1896</v>
      </c>
      <c r="C280" s="539" t="s">
        <v>1897</v>
      </c>
      <c r="D280" s="521">
        <v>1</v>
      </c>
      <c r="E280" s="526">
        <v>17423.029921527173</v>
      </c>
    </row>
    <row r="281" spans="1:5">
      <c r="A281" s="521" t="s">
        <v>1858</v>
      </c>
      <c r="B281" s="539" t="s">
        <v>1859</v>
      </c>
      <c r="C281" s="539" t="s">
        <v>2286</v>
      </c>
      <c r="D281" s="521">
        <v>1</v>
      </c>
      <c r="E281" s="526">
        <v>811.53</v>
      </c>
    </row>
    <row r="282" spans="1:5">
      <c r="A282" s="521" t="s">
        <v>1858</v>
      </c>
      <c r="B282" s="539" t="s">
        <v>2287</v>
      </c>
      <c r="C282" s="539" t="s">
        <v>2288</v>
      </c>
      <c r="D282" s="521">
        <v>2</v>
      </c>
      <c r="E282" s="526">
        <v>813.30000000000007</v>
      </c>
    </row>
    <row r="283" spans="1:5" ht="24.75">
      <c r="A283" s="521" t="s">
        <v>1895</v>
      </c>
      <c r="B283" s="539" t="s">
        <v>2289</v>
      </c>
      <c r="C283" s="539" t="s">
        <v>2290</v>
      </c>
      <c r="D283" s="521">
        <v>10</v>
      </c>
      <c r="E283" s="526">
        <v>819.52</v>
      </c>
    </row>
    <row r="284" spans="1:5" ht="24.75">
      <c r="A284" s="521" t="s">
        <v>1858</v>
      </c>
      <c r="B284" s="539" t="s">
        <v>2291</v>
      </c>
      <c r="C284" s="539" t="s">
        <v>2292</v>
      </c>
      <c r="D284" s="521">
        <v>1</v>
      </c>
      <c r="E284" s="526">
        <v>825</v>
      </c>
    </row>
    <row r="285" spans="1:5" ht="24.75">
      <c r="A285" s="521" t="s">
        <v>1858</v>
      </c>
      <c r="B285" s="539" t="s">
        <v>2293</v>
      </c>
      <c r="C285" s="539" t="s">
        <v>2294</v>
      </c>
      <c r="D285" s="521">
        <v>5</v>
      </c>
      <c r="E285" s="526">
        <v>825</v>
      </c>
    </row>
    <row r="286" spans="1:5">
      <c r="A286" s="521" t="s">
        <v>1858</v>
      </c>
      <c r="B286" s="539" t="s">
        <v>1859</v>
      </c>
      <c r="C286" s="539" t="s">
        <v>2295</v>
      </c>
      <c r="D286" s="521">
        <v>1</v>
      </c>
      <c r="E286" s="526">
        <v>876.72</v>
      </c>
    </row>
    <row r="287" spans="1:5" ht="24.75">
      <c r="A287" s="521" t="s">
        <v>1858</v>
      </c>
      <c r="B287" s="539" t="s">
        <v>2296</v>
      </c>
      <c r="C287" s="539" t="s">
        <v>2297</v>
      </c>
      <c r="D287" s="521">
        <v>1</v>
      </c>
      <c r="E287" s="526">
        <v>915.2</v>
      </c>
    </row>
    <row r="288" spans="1:5" ht="24.75">
      <c r="A288" s="521" t="s">
        <v>1858</v>
      </c>
      <c r="B288" s="539" t="s">
        <v>2298</v>
      </c>
      <c r="C288" s="539" t="s">
        <v>2299</v>
      </c>
      <c r="D288" s="521">
        <v>2</v>
      </c>
      <c r="E288" s="526">
        <v>930</v>
      </c>
    </row>
    <row r="289" spans="1:5">
      <c r="A289" s="521" t="s">
        <v>1895</v>
      </c>
      <c r="B289" s="539" t="s">
        <v>1896</v>
      </c>
      <c r="C289" s="539" t="s">
        <v>2300</v>
      </c>
      <c r="D289" s="525">
        <v>1</v>
      </c>
      <c r="E289" s="526">
        <v>971.16</v>
      </c>
    </row>
    <row r="290" spans="1:5">
      <c r="A290" s="521" t="s">
        <v>1858</v>
      </c>
      <c r="B290" s="539" t="s">
        <v>1859</v>
      </c>
      <c r="C290" s="539" t="s">
        <v>2301</v>
      </c>
      <c r="D290" s="521">
        <v>1</v>
      </c>
      <c r="E290" s="526">
        <v>975</v>
      </c>
    </row>
    <row r="291" spans="1:5">
      <c r="A291" s="521" t="s">
        <v>1858</v>
      </c>
      <c r="B291" s="539" t="s">
        <v>2302</v>
      </c>
      <c r="C291" s="539" t="s">
        <v>2303</v>
      </c>
      <c r="D291" s="521">
        <v>1</v>
      </c>
      <c r="E291" s="526">
        <v>1004.64</v>
      </c>
    </row>
    <row r="292" spans="1:5" ht="36.75">
      <c r="A292" s="521" t="s">
        <v>1858</v>
      </c>
      <c r="B292" s="539" t="s">
        <v>2304</v>
      </c>
      <c r="C292" s="539" t="s">
        <v>2305</v>
      </c>
      <c r="D292" s="521">
        <v>4</v>
      </c>
      <c r="E292" s="526">
        <v>1016</v>
      </c>
    </row>
    <row r="293" spans="1:5">
      <c r="A293" s="521" t="s">
        <v>1858</v>
      </c>
      <c r="B293" s="539" t="s">
        <v>2306</v>
      </c>
      <c r="C293" s="539" t="s">
        <v>2307</v>
      </c>
      <c r="D293" s="521">
        <v>3</v>
      </c>
      <c r="E293" s="526">
        <v>1023.27</v>
      </c>
    </row>
    <row r="294" spans="1:5" ht="24.75">
      <c r="A294" s="521" t="s">
        <v>1895</v>
      </c>
      <c r="B294" s="539" t="s">
        <v>2308</v>
      </c>
      <c r="C294" s="539" t="s">
        <v>2309</v>
      </c>
      <c r="D294" s="525">
        <v>1</v>
      </c>
      <c r="E294" s="526">
        <v>1030.6400000000001</v>
      </c>
    </row>
    <row r="295" spans="1:5" ht="24.75">
      <c r="A295" s="521" t="s">
        <v>1895</v>
      </c>
      <c r="B295" s="539" t="s">
        <v>2310</v>
      </c>
      <c r="C295" s="539" t="s">
        <v>2311</v>
      </c>
      <c r="D295" s="525">
        <v>1</v>
      </c>
      <c r="E295" s="526">
        <v>1087.97</v>
      </c>
    </row>
    <row r="296" spans="1:5">
      <c r="A296" s="521" t="s">
        <v>1895</v>
      </c>
      <c r="B296" s="539" t="s">
        <v>2312</v>
      </c>
      <c r="C296" s="539" t="s">
        <v>2313</v>
      </c>
      <c r="D296" s="521">
        <v>1</v>
      </c>
      <c r="E296" s="526">
        <v>24402.075692090144</v>
      </c>
    </row>
    <row r="297" spans="1:5">
      <c r="A297" s="521" t="s">
        <v>1895</v>
      </c>
      <c r="B297" s="539" t="s">
        <v>2314</v>
      </c>
      <c r="C297" s="539" t="s">
        <v>2315</v>
      </c>
      <c r="D297" s="521">
        <v>1</v>
      </c>
      <c r="E297" s="526">
        <v>45805.953050488446</v>
      </c>
    </row>
    <row r="298" spans="1:5" ht="24.75">
      <c r="A298" s="521" t="s">
        <v>1895</v>
      </c>
      <c r="B298" s="539" t="s">
        <v>2316</v>
      </c>
      <c r="C298" s="539" t="s">
        <v>2317</v>
      </c>
      <c r="D298" s="521">
        <v>70</v>
      </c>
      <c r="E298" s="526">
        <v>66336.237626200396</v>
      </c>
    </row>
    <row r="299" spans="1:5">
      <c r="A299" s="521" t="s">
        <v>1858</v>
      </c>
      <c r="B299" s="539" t="s">
        <v>2318</v>
      </c>
      <c r="C299" s="539" t="s">
        <v>2319</v>
      </c>
      <c r="D299" s="521">
        <v>1</v>
      </c>
      <c r="E299" s="526">
        <v>1215.165</v>
      </c>
    </row>
    <row r="300" spans="1:5">
      <c r="A300" s="521" t="s">
        <v>1858</v>
      </c>
      <c r="B300" s="539" t="s">
        <v>2320</v>
      </c>
      <c r="C300" s="539" t="s">
        <v>2321</v>
      </c>
      <c r="D300" s="521">
        <v>7</v>
      </c>
      <c r="E300" s="526">
        <v>1233.44</v>
      </c>
    </row>
    <row r="301" spans="1:5">
      <c r="A301" s="521" t="s">
        <v>1858</v>
      </c>
      <c r="B301" s="539" t="s">
        <v>1968</v>
      </c>
      <c r="C301" s="539" t="s">
        <v>2322</v>
      </c>
      <c r="D301" s="521">
        <v>1</v>
      </c>
      <c r="E301" s="526">
        <v>1249.9900000000002</v>
      </c>
    </row>
    <row r="302" spans="1:5" ht="24.75">
      <c r="A302" s="521" t="s">
        <v>1858</v>
      </c>
      <c r="B302" s="539" t="s">
        <v>2323</v>
      </c>
      <c r="C302" s="539" t="s">
        <v>2324</v>
      </c>
      <c r="D302" s="521">
        <v>1</v>
      </c>
      <c r="E302" s="526">
        <v>1305</v>
      </c>
    </row>
    <row r="303" spans="1:5">
      <c r="A303" s="521" t="s">
        <v>1858</v>
      </c>
      <c r="B303" s="539" t="s">
        <v>2325</v>
      </c>
      <c r="C303" s="539" t="s">
        <v>2326</v>
      </c>
      <c r="D303" s="521">
        <v>1</v>
      </c>
      <c r="E303" s="526">
        <v>1456</v>
      </c>
    </row>
    <row r="304" spans="1:5">
      <c r="A304" s="521" t="s">
        <v>1858</v>
      </c>
      <c r="B304" s="539" t="s">
        <v>1859</v>
      </c>
      <c r="C304" s="539" t="s">
        <v>2327</v>
      </c>
      <c r="D304" s="521">
        <v>1</v>
      </c>
      <c r="E304" s="526">
        <v>1763.22</v>
      </c>
    </row>
    <row r="305" spans="1:5">
      <c r="A305" s="521" t="s">
        <v>1858</v>
      </c>
      <c r="B305" s="539" t="s">
        <v>1859</v>
      </c>
      <c r="C305" s="539" t="s">
        <v>2328</v>
      </c>
      <c r="D305" s="521">
        <v>1</v>
      </c>
      <c r="E305" s="526">
        <v>1800</v>
      </c>
    </row>
    <row r="306" spans="1:5">
      <c r="A306" s="521" t="s">
        <v>1858</v>
      </c>
      <c r="B306" s="539" t="s">
        <v>2006</v>
      </c>
      <c r="C306" s="539" t="s">
        <v>2329</v>
      </c>
      <c r="D306" s="521">
        <v>1</v>
      </c>
      <c r="E306" s="526">
        <v>1845</v>
      </c>
    </row>
    <row r="307" spans="1:5">
      <c r="A307" s="521" t="s">
        <v>1858</v>
      </c>
      <c r="B307" s="539" t="s">
        <v>1869</v>
      </c>
      <c r="C307" s="539" t="s">
        <v>2330</v>
      </c>
      <c r="D307" s="521">
        <v>1</v>
      </c>
      <c r="E307" s="526">
        <v>2042.48</v>
      </c>
    </row>
    <row r="308" spans="1:5" ht="36.75">
      <c r="A308" s="521" t="s">
        <v>1858</v>
      </c>
      <c r="B308" s="539" t="s">
        <v>2331</v>
      </c>
      <c r="C308" s="539" t="s">
        <v>2332</v>
      </c>
      <c r="D308" s="521">
        <v>1</v>
      </c>
      <c r="E308" s="526">
        <v>2081.3609999999999</v>
      </c>
    </row>
    <row r="309" spans="1:5">
      <c r="A309" s="521" t="s">
        <v>1895</v>
      </c>
      <c r="B309" s="539" t="s">
        <v>2314</v>
      </c>
      <c r="C309" s="539" t="s">
        <v>2333</v>
      </c>
      <c r="D309" s="521">
        <v>1</v>
      </c>
      <c r="E309" s="526">
        <v>95949.605965362047</v>
      </c>
    </row>
    <row r="310" spans="1:5" ht="24.75">
      <c r="A310" s="521" t="s">
        <v>1895</v>
      </c>
      <c r="B310" s="539" t="s">
        <v>2334</v>
      </c>
      <c r="C310" s="539" t="s">
        <v>2335</v>
      </c>
      <c r="D310" s="521">
        <v>1</v>
      </c>
      <c r="E310" s="526">
        <v>19265.923984440386</v>
      </c>
    </row>
    <row r="311" spans="1:5">
      <c r="A311" s="521" t="s">
        <v>1895</v>
      </c>
      <c r="B311" s="539" t="s">
        <v>2336</v>
      </c>
      <c r="C311" s="539" t="s">
        <v>2337</v>
      </c>
      <c r="D311" s="525">
        <v>1</v>
      </c>
      <c r="E311" s="526">
        <v>2471.92</v>
      </c>
    </row>
    <row r="312" spans="1:5" ht="36.75">
      <c r="A312" s="521" t="s">
        <v>1858</v>
      </c>
      <c r="B312" s="539" t="s">
        <v>2338</v>
      </c>
      <c r="C312" s="539" t="s">
        <v>2339</v>
      </c>
      <c r="D312" s="521">
        <v>20</v>
      </c>
      <c r="E312" s="526">
        <v>2475.2000000000003</v>
      </c>
    </row>
    <row r="313" spans="1:5">
      <c r="A313" s="521" t="s">
        <v>1895</v>
      </c>
      <c r="B313" s="539" t="s">
        <v>2088</v>
      </c>
      <c r="C313" s="539" t="s">
        <v>2340</v>
      </c>
      <c r="D313" s="521">
        <v>1</v>
      </c>
      <c r="E313" s="526">
        <v>110552.59082541939</v>
      </c>
    </row>
    <row r="314" spans="1:5">
      <c r="A314" s="521" t="s">
        <v>1895</v>
      </c>
      <c r="B314" s="539" t="s">
        <v>2336</v>
      </c>
      <c r="C314" s="539" t="s">
        <v>2341</v>
      </c>
      <c r="D314" s="521">
        <v>1</v>
      </c>
      <c r="E314" s="526">
        <v>2547.46</v>
      </c>
    </row>
    <row r="315" spans="1:5">
      <c r="A315" s="521" t="s">
        <v>1895</v>
      </c>
      <c r="B315" s="539" t="s">
        <v>2336</v>
      </c>
      <c r="C315" s="539" t="s">
        <v>2342</v>
      </c>
      <c r="D315" s="521">
        <v>1</v>
      </c>
      <c r="E315" s="526">
        <v>2797.43</v>
      </c>
    </row>
    <row r="316" spans="1:5">
      <c r="A316" s="521" t="s">
        <v>1895</v>
      </c>
      <c r="B316" s="539" t="s">
        <v>2343</v>
      </c>
      <c r="C316" s="539" t="s">
        <v>2344</v>
      </c>
      <c r="D316" s="521">
        <v>1</v>
      </c>
      <c r="E316" s="526">
        <v>41395.523870967343</v>
      </c>
    </row>
    <row r="317" spans="1:5">
      <c r="A317" s="521" t="s">
        <v>1858</v>
      </c>
      <c r="B317" s="539" t="s">
        <v>2345</v>
      </c>
      <c r="C317" s="539" t="s">
        <v>2346</v>
      </c>
      <c r="D317" s="521">
        <v>1</v>
      </c>
      <c r="E317" s="526">
        <v>3323.6187999999966</v>
      </c>
    </row>
    <row r="318" spans="1:5" ht="24.75">
      <c r="A318" s="521" t="s">
        <v>1895</v>
      </c>
      <c r="B318" s="539" t="s">
        <v>2347</v>
      </c>
      <c r="C318" s="539" t="s">
        <v>2348</v>
      </c>
      <c r="D318" s="521">
        <v>25</v>
      </c>
      <c r="E318" s="526">
        <v>62303.479961814388</v>
      </c>
    </row>
    <row r="319" spans="1:5" ht="24.75">
      <c r="A319" s="521" t="s">
        <v>1895</v>
      </c>
      <c r="B319" s="539" t="s">
        <v>2349</v>
      </c>
      <c r="C319" s="539" t="s">
        <v>2350</v>
      </c>
      <c r="D319" s="521">
        <v>1</v>
      </c>
      <c r="E319" s="526">
        <v>3890</v>
      </c>
    </row>
    <row r="320" spans="1:5">
      <c r="A320" s="521" t="s">
        <v>1895</v>
      </c>
      <c r="B320" s="539" t="s">
        <v>2336</v>
      </c>
      <c r="C320" s="539" t="s">
        <v>2351</v>
      </c>
      <c r="D320" s="521">
        <v>1</v>
      </c>
      <c r="E320" s="526">
        <v>3970.8</v>
      </c>
    </row>
    <row r="321" spans="1:5">
      <c r="A321" s="521" t="s">
        <v>1895</v>
      </c>
      <c r="B321" s="539" t="s">
        <v>2352</v>
      </c>
      <c r="C321" s="539" t="s">
        <v>2353</v>
      </c>
      <c r="D321" s="521">
        <v>25</v>
      </c>
      <c r="E321" s="526">
        <v>88884.495555156856</v>
      </c>
    </row>
    <row r="322" spans="1:5">
      <c r="A322" s="521" t="s">
        <v>1895</v>
      </c>
      <c r="B322" s="539" t="s">
        <v>2336</v>
      </c>
      <c r="C322" s="539" t="s">
        <v>2354</v>
      </c>
      <c r="D322" s="521">
        <v>1</v>
      </c>
      <c r="E322" s="526">
        <v>4217.28</v>
      </c>
    </row>
    <row r="323" spans="1:5" ht="24.75">
      <c r="A323" s="521" t="s">
        <v>1858</v>
      </c>
      <c r="B323" s="539" t="s">
        <v>2355</v>
      </c>
      <c r="C323" s="539" t="s">
        <v>2356</v>
      </c>
      <c r="D323" s="525">
        <v>1</v>
      </c>
      <c r="E323" s="526">
        <v>4300</v>
      </c>
    </row>
    <row r="324" spans="1:5" ht="24.75">
      <c r="A324" s="521" t="s">
        <v>1895</v>
      </c>
      <c r="B324" s="539" t="s">
        <v>2357</v>
      </c>
      <c r="C324" s="539" t="s">
        <v>2358</v>
      </c>
      <c r="D324" s="521">
        <v>41</v>
      </c>
      <c r="E324" s="526">
        <v>219199.41260727018</v>
      </c>
    </row>
    <row r="325" spans="1:5">
      <c r="A325" s="521" t="s">
        <v>1895</v>
      </c>
      <c r="B325" s="539" t="s">
        <v>2336</v>
      </c>
      <c r="C325" s="539" t="s">
        <v>2359</v>
      </c>
      <c r="D325" s="525">
        <v>1</v>
      </c>
      <c r="E325" s="526">
        <v>4520.2428</v>
      </c>
    </row>
    <row r="326" spans="1:5">
      <c r="A326" s="521" t="s">
        <v>1895</v>
      </c>
      <c r="B326" s="539" t="s">
        <v>2088</v>
      </c>
      <c r="C326" s="539" t="s">
        <v>2360</v>
      </c>
      <c r="D326" s="521">
        <v>1</v>
      </c>
      <c r="E326" s="526">
        <v>182501.82009878842</v>
      </c>
    </row>
    <row r="327" spans="1:5">
      <c r="A327" s="521" t="s">
        <v>1895</v>
      </c>
      <c r="B327" s="539" t="s">
        <v>2088</v>
      </c>
      <c r="C327" s="539" t="s">
        <v>2361</v>
      </c>
      <c r="D327" s="521">
        <v>1</v>
      </c>
      <c r="E327" s="526">
        <v>200223.26772474404</v>
      </c>
    </row>
    <row r="328" spans="1:5">
      <c r="A328" s="521" t="s">
        <v>1895</v>
      </c>
      <c r="B328" s="539" t="s">
        <v>2336</v>
      </c>
      <c r="C328" s="539" t="s">
        <v>2362</v>
      </c>
      <c r="D328" s="521">
        <v>1</v>
      </c>
      <c r="E328" s="526">
        <v>5538.9699999999993</v>
      </c>
    </row>
    <row r="329" spans="1:5">
      <c r="A329" s="521" t="s">
        <v>1895</v>
      </c>
      <c r="B329" s="539" t="s">
        <v>2336</v>
      </c>
      <c r="C329" s="539" t="s">
        <v>2363</v>
      </c>
      <c r="D329" s="521">
        <v>1</v>
      </c>
      <c r="E329" s="526">
        <v>5833.33</v>
      </c>
    </row>
    <row r="330" spans="1:5">
      <c r="A330" s="521" t="s">
        <v>1858</v>
      </c>
      <c r="B330" s="539" t="s">
        <v>2006</v>
      </c>
      <c r="C330" s="539" t="s">
        <v>2364</v>
      </c>
      <c r="D330" s="521">
        <v>40</v>
      </c>
      <c r="E330" s="526">
        <v>6250</v>
      </c>
    </row>
    <row r="331" spans="1:5">
      <c r="A331" s="521" t="s">
        <v>1895</v>
      </c>
      <c r="B331" s="539" t="s">
        <v>2336</v>
      </c>
      <c r="C331" s="539" t="s">
        <v>2365</v>
      </c>
      <c r="D331" s="525">
        <v>1</v>
      </c>
      <c r="E331" s="526">
        <v>6396</v>
      </c>
    </row>
    <row r="332" spans="1:5">
      <c r="A332" s="521" t="s">
        <v>1895</v>
      </c>
      <c r="B332" s="539" t="s">
        <v>2088</v>
      </c>
      <c r="C332" s="539" t="s">
        <v>2366</v>
      </c>
      <c r="D332" s="521">
        <v>1</v>
      </c>
      <c r="E332" s="526">
        <v>421281.6153805569</v>
      </c>
    </row>
    <row r="333" spans="1:5" ht="72.75">
      <c r="A333" s="521" t="s">
        <v>1895</v>
      </c>
      <c r="B333" s="539" t="s">
        <v>2367</v>
      </c>
      <c r="C333" s="539" t="s">
        <v>2368</v>
      </c>
      <c r="D333" s="539" t="s">
        <v>2369</v>
      </c>
      <c r="E333" s="526">
        <v>7948.87</v>
      </c>
    </row>
    <row r="334" spans="1:5">
      <c r="A334" s="521" t="s">
        <v>1895</v>
      </c>
      <c r="B334" s="539" t="s">
        <v>2370</v>
      </c>
      <c r="C334" s="539" t="s">
        <v>2371</v>
      </c>
      <c r="D334" s="521">
        <v>1</v>
      </c>
      <c r="E334" s="526">
        <v>7975.76</v>
      </c>
    </row>
    <row r="335" spans="1:5">
      <c r="A335" s="521" t="s">
        <v>1895</v>
      </c>
      <c r="B335" s="539" t="s">
        <v>2088</v>
      </c>
      <c r="C335" s="539" t="s">
        <v>2372</v>
      </c>
      <c r="D335" s="521">
        <v>1</v>
      </c>
      <c r="E335" s="526">
        <v>457139.75934148784</v>
      </c>
    </row>
    <row r="336" spans="1:5">
      <c r="A336" s="521" t="s">
        <v>1895</v>
      </c>
      <c r="B336" s="539" t="s">
        <v>2088</v>
      </c>
      <c r="C336" s="539" t="s">
        <v>2373</v>
      </c>
      <c r="D336" s="521">
        <v>1</v>
      </c>
      <c r="E336" s="526">
        <v>373640.3096994079</v>
      </c>
    </row>
    <row r="337" spans="1:5">
      <c r="A337" s="521" t="s">
        <v>1895</v>
      </c>
      <c r="B337" s="539" t="s">
        <v>2336</v>
      </c>
      <c r="C337" s="539" t="s">
        <v>2374</v>
      </c>
      <c r="D337" s="525">
        <v>1</v>
      </c>
      <c r="E337" s="526">
        <v>11330</v>
      </c>
    </row>
    <row r="338" spans="1:5">
      <c r="A338" s="521" t="s">
        <v>1895</v>
      </c>
      <c r="B338" s="539" t="s">
        <v>2336</v>
      </c>
      <c r="C338" s="539" t="s">
        <v>2375</v>
      </c>
      <c r="D338" s="525">
        <v>1</v>
      </c>
      <c r="E338" s="526">
        <v>13293.53</v>
      </c>
    </row>
    <row r="339" spans="1:5">
      <c r="A339" s="521" t="s">
        <v>1895</v>
      </c>
      <c r="B339" s="539" t="s">
        <v>2088</v>
      </c>
      <c r="C339" s="539" t="s">
        <v>2376</v>
      </c>
      <c r="D339" s="521">
        <v>1</v>
      </c>
      <c r="E339" s="526">
        <v>580297.81211395573</v>
      </c>
    </row>
    <row r="340" spans="1:5">
      <c r="A340" s="521" t="s">
        <v>1895</v>
      </c>
      <c r="B340" s="539" t="s">
        <v>2088</v>
      </c>
      <c r="C340" s="539" t="s">
        <v>2377</v>
      </c>
      <c r="D340" s="521">
        <v>1</v>
      </c>
      <c r="E340" s="526">
        <v>1135228.6894331165</v>
      </c>
    </row>
    <row r="341" spans="1:5">
      <c r="A341" s="521" t="s">
        <v>1895</v>
      </c>
      <c r="B341" s="539" t="s">
        <v>2088</v>
      </c>
      <c r="C341" s="539" t="s">
        <v>2378</v>
      </c>
      <c r="D341" s="521">
        <v>1</v>
      </c>
      <c r="E341" s="526">
        <v>5642703.83928</v>
      </c>
    </row>
    <row r="342" spans="1:5">
      <c r="A342" s="521" t="s">
        <v>1895</v>
      </c>
      <c r="B342" s="539" t="s">
        <v>2088</v>
      </c>
      <c r="C342" s="540"/>
      <c r="D342" s="521">
        <v>1</v>
      </c>
      <c r="E342" s="526">
        <v>2542294.5235411474</v>
      </c>
    </row>
    <row r="343" spans="1:5">
      <c r="A343" s="510"/>
      <c r="B343" s="510"/>
      <c r="C343" s="538"/>
      <c r="D343" s="510"/>
    </row>
    <row r="347" spans="1:5" ht="30" customHeight="1"/>
    <row r="348" spans="1:5" ht="30" customHeight="1"/>
    <row r="349" spans="1:5" ht="30" customHeight="1"/>
    <row r="350" spans="1:5" ht="30" customHeight="1"/>
    <row r="351" spans="1:5" ht="30" customHeight="1"/>
    <row r="352" spans="1:5" ht="30" customHeight="1"/>
    <row r="353" ht="30" customHeight="1"/>
    <row r="354" ht="30" customHeight="1"/>
    <row r="355" ht="30" customHeight="1"/>
    <row r="356" ht="30" customHeight="1"/>
    <row r="357" ht="30" customHeight="1"/>
    <row r="358" ht="30" customHeight="1"/>
    <row r="359" ht="30" customHeight="1"/>
    <row r="360" ht="30" customHeight="1"/>
    <row r="361" ht="30" customHeight="1"/>
    <row r="362" ht="30" customHeight="1"/>
    <row r="363" ht="30" customHeight="1"/>
    <row r="364" ht="30" customHeight="1"/>
    <row r="365" ht="30" customHeight="1"/>
    <row r="366" ht="30" customHeight="1"/>
    <row r="367" ht="30" customHeight="1"/>
    <row r="368" ht="30" customHeight="1"/>
    <row r="369" ht="30" customHeight="1"/>
    <row r="370" ht="30" customHeight="1"/>
    <row r="371" ht="30" customHeight="1"/>
    <row r="372" ht="30" customHeight="1"/>
    <row r="373" ht="30" customHeight="1"/>
    <row r="374" ht="30" customHeight="1"/>
    <row r="375" ht="30" customHeight="1"/>
  </sheetData>
  <mergeCells count="1">
    <mergeCell ref="A1:E1"/>
  </mergeCells>
  <pageMargins left="0.7" right="0.7" top="0.75" bottom="0.75" header="0.3" footer="0.3"/>
  <pageSetup paperSize="5" scale="85" orientation="portrait" r:id="rId1"/>
</worksheet>
</file>

<file path=xl/worksheets/sheet40.xml><?xml version="1.0" encoding="utf-8"?>
<worksheet xmlns="http://schemas.openxmlformats.org/spreadsheetml/2006/main" xmlns:r="http://schemas.openxmlformats.org/officeDocument/2006/relationships">
  <dimension ref="A1:X56"/>
  <sheetViews>
    <sheetView view="pageBreakPreview" zoomScale="95" zoomScaleSheetLayoutView="95" workbookViewId="0"/>
  </sheetViews>
  <sheetFormatPr defaultRowHeight="14.25"/>
  <cols>
    <col min="1" max="1" width="0.42578125" style="763" customWidth="1"/>
    <col min="2" max="2" width="7.7109375" style="813" customWidth="1"/>
    <col min="3" max="3" width="53.28515625" style="817" customWidth="1"/>
    <col min="4" max="4" width="13.28515625" style="813" customWidth="1"/>
    <col min="5" max="5" width="15.42578125" style="813" customWidth="1"/>
    <col min="6" max="6" width="19.7109375" style="811" customWidth="1"/>
    <col min="7" max="7" width="19.140625" style="811" customWidth="1"/>
    <col min="8" max="8" width="18.140625" style="811" customWidth="1"/>
    <col min="9" max="9" width="15.5703125" style="811" customWidth="1"/>
    <col min="10" max="10" width="15.42578125" style="811" customWidth="1"/>
    <col min="11" max="11" width="20" style="811" customWidth="1"/>
    <col min="12" max="12" width="15" style="813" customWidth="1"/>
    <col min="13" max="13" width="13.28515625" style="813" customWidth="1"/>
    <col min="14" max="256" width="9.140625" style="763"/>
    <col min="257" max="257" width="9.140625" style="763" customWidth="1"/>
    <col min="258" max="258" width="18" style="763" bestFit="1" customWidth="1"/>
    <col min="259" max="259" width="96.85546875" style="763" customWidth="1"/>
    <col min="260" max="260" width="8.42578125" style="763" bestFit="1" customWidth="1"/>
    <col min="261" max="261" width="17.42578125" style="763" customWidth="1"/>
    <col min="262" max="262" width="19.7109375" style="763" customWidth="1"/>
    <col min="263" max="263" width="27.7109375" style="763" customWidth="1"/>
    <col min="264" max="264" width="18.140625" style="763" customWidth="1"/>
    <col min="265" max="265" width="17.85546875" style="763" customWidth="1"/>
    <col min="266" max="266" width="15.42578125" style="763" customWidth="1"/>
    <col min="267" max="267" width="14.42578125" style="763" customWidth="1"/>
    <col min="268" max="268" width="15" style="763" customWidth="1"/>
    <col min="269" max="269" width="13.28515625" style="763" customWidth="1"/>
    <col min="270" max="512" width="9.140625" style="763"/>
    <col min="513" max="513" width="9.140625" style="763" customWidth="1"/>
    <col min="514" max="514" width="18" style="763" bestFit="1" customWidth="1"/>
    <col min="515" max="515" width="96.85546875" style="763" customWidth="1"/>
    <col min="516" max="516" width="8.42578125" style="763" bestFit="1" customWidth="1"/>
    <col min="517" max="517" width="17.42578125" style="763" customWidth="1"/>
    <col min="518" max="518" width="19.7109375" style="763" customWidth="1"/>
    <col min="519" max="519" width="27.7109375" style="763" customWidth="1"/>
    <col min="520" max="520" width="18.140625" style="763" customWidth="1"/>
    <col min="521" max="521" width="17.85546875" style="763" customWidth="1"/>
    <col min="522" max="522" width="15.42578125" style="763" customWidth="1"/>
    <col min="523" max="523" width="14.42578125" style="763" customWidth="1"/>
    <col min="524" max="524" width="15" style="763" customWidth="1"/>
    <col min="525" max="525" width="13.28515625" style="763" customWidth="1"/>
    <col min="526" max="768" width="9.140625" style="763"/>
    <col min="769" max="769" width="9.140625" style="763" customWidth="1"/>
    <col min="770" max="770" width="18" style="763" bestFit="1" customWidth="1"/>
    <col min="771" max="771" width="96.85546875" style="763" customWidth="1"/>
    <col min="772" max="772" width="8.42578125" style="763" bestFit="1" customWidth="1"/>
    <col min="773" max="773" width="17.42578125" style="763" customWidth="1"/>
    <col min="774" max="774" width="19.7109375" style="763" customWidth="1"/>
    <col min="775" max="775" width="27.7109375" style="763" customWidth="1"/>
    <col min="776" max="776" width="18.140625" style="763" customWidth="1"/>
    <col min="777" max="777" width="17.85546875" style="763" customWidth="1"/>
    <col min="778" max="778" width="15.42578125" style="763" customWidth="1"/>
    <col min="779" max="779" width="14.42578125" style="763" customWidth="1"/>
    <col min="780" max="780" width="15" style="763" customWidth="1"/>
    <col min="781" max="781" width="13.28515625" style="763" customWidth="1"/>
    <col min="782" max="1024" width="9.140625" style="763"/>
    <col min="1025" max="1025" width="9.140625" style="763" customWidth="1"/>
    <col min="1026" max="1026" width="18" style="763" bestFit="1" customWidth="1"/>
    <col min="1027" max="1027" width="96.85546875" style="763" customWidth="1"/>
    <col min="1028" max="1028" width="8.42578125" style="763" bestFit="1" customWidth="1"/>
    <col min="1029" max="1029" width="17.42578125" style="763" customWidth="1"/>
    <col min="1030" max="1030" width="19.7109375" style="763" customWidth="1"/>
    <col min="1031" max="1031" width="27.7109375" style="763" customWidth="1"/>
    <col min="1032" max="1032" width="18.140625" style="763" customWidth="1"/>
    <col min="1033" max="1033" width="17.85546875" style="763" customWidth="1"/>
    <col min="1034" max="1034" width="15.42578125" style="763" customWidth="1"/>
    <col min="1035" max="1035" width="14.42578125" style="763" customWidth="1"/>
    <col min="1036" max="1036" width="15" style="763" customWidth="1"/>
    <col min="1037" max="1037" width="13.28515625" style="763" customWidth="1"/>
    <col min="1038" max="1280" width="9.140625" style="763"/>
    <col min="1281" max="1281" width="9.140625" style="763" customWidth="1"/>
    <col min="1282" max="1282" width="18" style="763" bestFit="1" customWidth="1"/>
    <col min="1283" max="1283" width="96.85546875" style="763" customWidth="1"/>
    <col min="1284" max="1284" width="8.42578125" style="763" bestFit="1" customWidth="1"/>
    <col min="1285" max="1285" width="17.42578125" style="763" customWidth="1"/>
    <col min="1286" max="1286" width="19.7109375" style="763" customWidth="1"/>
    <col min="1287" max="1287" width="27.7109375" style="763" customWidth="1"/>
    <col min="1288" max="1288" width="18.140625" style="763" customWidth="1"/>
    <col min="1289" max="1289" width="17.85546875" style="763" customWidth="1"/>
    <col min="1290" max="1290" width="15.42578125" style="763" customWidth="1"/>
    <col min="1291" max="1291" width="14.42578125" style="763" customWidth="1"/>
    <col min="1292" max="1292" width="15" style="763" customWidth="1"/>
    <col min="1293" max="1293" width="13.28515625" style="763" customWidth="1"/>
    <col min="1294" max="1536" width="9.140625" style="763"/>
    <col min="1537" max="1537" width="9.140625" style="763" customWidth="1"/>
    <col min="1538" max="1538" width="18" style="763" bestFit="1" customWidth="1"/>
    <col min="1539" max="1539" width="96.85546875" style="763" customWidth="1"/>
    <col min="1540" max="1540" width="8.42578125" style="763" bestFit="1" customWidth="1"/>
    <col min="1541" max="1541" width="17.42578125" style="763" customWidth="1"/>
    <col min="1542" max="1542" width="19.7109375" style="763" customWidth="1"/>
    <col min="1543" max="1543" width="27.7109375" style="763" customWidth="1"/>
    <col min="1544" max="1544" width="18.140625" style="763" customWidth="1"/>
    <col min="1545" max="1545" width="17.85546875" style="763" customWidth="1"/>
    <col min="1546" max="1546" width="15.42578125" style="763" customWidth="1"/>
    <col min="1547" max="1547" width="14.42578125" style="763" customWidth="1"/>
    <col min="1548" max="1548" width="15" style="763" customWidth="1"/>
    <col min="1549" max="1549" width="13.28515625" style="763" customWidth="1"/>
    <col min="1550" max="1792" width="9.140625" style="763"/>
    <col min="1793" max="1793" width="9.140625" style="763" customWidth="1"/>
    <col min="1794" max="1794" width="18" style="763" bestFit="1" customWidth="1"/>
    <col min="1795" max="1795" width="96.85546875" style="763" customWidth="1"/>
    <col min="1796" max="1796" width="8.42578125" style="763" bestFit="1" customWidth="1"/>
    <col min="1797" max="1797" width="17.42578125" style="763" customWidth="1"/>
    <col min="1798" max="1798" width="19.7109375" style="763" customWidth="1"/>
    <col min="1799" max="1799" width="27.7109375" style="763" customWidth="1"/>
    <col min="1800" max="1800" width="18.140625" style="763" customWidth="1"/>
    <col min="1801" max="1801" width="17.85546875" style="763" customWidth="1"/>
    <col min="1802" max="1802" width="15.42578125" style="763" customWidth="1"/>
    <col min="1803" max="1803" width="14.42578125" style="763" customWidth="1"/>
    <col min="1804" max="1804" width="15" style="763" customWidth="1"/>
    <col min="1805" max="1805" width="13.28515625" style="763" customWidth="1"/>
    <col min="1806" max="2048" width="9.140625" style="763"/>
    <col min="2049" max="2049" width="9.140625" style="763" customWidth="1"/>
    <col min="2050" max="2050" width="18" style="763" bestFit="1" customWidth="1"/>
    <col min="2051" max="2051" width="96.85546875" style="763" customWidth="1"/>
    <col min="2052" max="2052" width="8.42578125" style="763" bestFit="1" customWidth="1"/>
    <col min="2053" max="2053" width="17.42578125" style="763" customWidth="1"/>
    <col min="2054" max="2054" width="19.7109375" style="763" customWidth="1"/>
    <col min="2055" max="2055" width="27.7109375" style="763" customWidth="1"/>
    <col min="2056" max="2056" width="18.140625" style="763" customWidth="1"/>
    <col min="2057" max="2057" width="17.85546875" style="763" customWidth="1"/>
    <col min="2058" max="2058" width="15.42578125" style="763" customWidth="1"/>
    <col min="2059" max="2059" width="14.42578125" style="763" customWidth="1"/>
    <col min="2060" max="2060" width="15" style="763" customWidth="1"/>
    <col min="2061" max="2061" width="13.28515625" style="763" customWidth="1"/>
    <col min="2062" max="2304" width="9.140625" style="763"/>
    <col min="2305" max="2305" width="9.140625" style="763" customWidth="1"/>
    <col min="2306" max="2306" width="18" style="763" bestFit="1" customWidth="1"/>
    <col min="2307" max="2307" width="96.85546875" style="763" customWidth="1"/>
    <col min="2308" max="2308" width="8.42578125" style="763" bestFit="1" customWidth="1"/>
    <col min="2309" max="2309" width="17.42578125" style="763" customWidth="1"/>
    <col min="2310" max="2310" width="19.7109375" style="763" customWidth="1"/>
    <col min="2311" max="2311" width="27.7109375" style="763" customWidth="1"/>
    <col min="2312" max="2312" width="18.140625" style="763" customWidth="1"/>
    <col min="2313" max="2313" width="17.85546875" style="763" customWidth="1"/>
    <col min="2314" max="2314" width="15.42578125" style="763" customWidth="1"/>
    <col min="2315" max="2315" width="14.42578125" style="763" customWidth="1"/>
    <col min="2316" max="2316" width="15" style="763" customWidth="1"/>
    <col min="2317" max="2317" width="13.28515625" style="763" customWidth="1"/>
    <col min="2318" max="2560" width="9.140625" style="763"/>
    <col min="2561" max="2561" width="9.140625" style="763" customWidth="1"/>
    <col min="2562" max="2562" width="18" style="763" bestFit="1" customWidth="1"/>
    <col min="2563" max="2563" width="96.85546875" style="763" customWidth="1"/>
    <col min="2564" max="2564" width="8.42578125" style="763" bestFit="1" customWidth="1"/>
    <col min="2565" max="2565" width="17.42578125" style="763" customWidth="1"/>
    <col min="2566" max="2566" width="19.7109375" style="763" customWidth="1"/>
    <col min="2567" max="2567" width="27.7109375" style="763" customWidth="1"/>
    <col min="2568" max="2568" width="18.140625" style="763" customWidth="1"/>
    <col min="2569" max="2569" width="17.85546875" style="763" customWidth="1"/>
    <col min="2570" max="2570" width="15.42578125" style="763" customWidth="1"/>
    <col min="2571" max="2571" width="14.42578125" style="763" customWidth="1"/>
    <col min="2572" max="2572" width="15" style="763" customWidth="1"/>
    <col min="2573" max="2573" width="13.28515625" style="763" customWidth="1"/>
    <col min="2574" max="2816" width="9.140625" style="763"/>
    <col min="2817" max="2817" width="9.140625" style="763" customWidth="1"/>
    <col min="2818" max="2818" width="18" style="763" bestFit="1" customWidth="1"/>
    <col min="2819" max="2819" width="96.85546875" style="763" customWidth="1"/>
    <col min="2820" max="2820" width="8.42578125" style="763" bestFit="1" customWidth="1"/>
    <col min="2821" max="2821" width="17.42578125" style="763" customWidth="1"/>
    <col min="2822" max="2822" width="19.7109375" style="763" customWidth="1"/>
    <col min="2823" max="2823" width="27.7109375" style="763" customWidth="1"/>
    <col min="2824" max="2824" width="18.140625" style="763" customWidth="1"/>
    <col min="2825" max="2825" width="17.85546875" style="763" customWidth="1"/>
    <col min="2826" max="2826" width="15.42578125" style="763" customWidth="1"/>
    <col min="2827" max="2827" width="14.42578125" style="763" customWidth="1"/>
    <col min="2828" max="2828" width="15" style="763" customWidth="1"/>
    <col min="2829" max="2829" width="13.28515625" style="763" customWidth="1"/>
    <col min="2830" max="3072" width="9.140625" style="763"/>
    <col min="3073" max="3073" width="9.140625" style="763" customWidth="1"/>
    <col min="3074" max="3074" width="18" style="763" bestFit="1" customWidth="1"/>
    <col min="3075" max="3075" width="96.85546875" style="763" customWidth="1"/>
    <col min="3076" max="3076" width="8.42578125" style="763" bestFit="1" customWidth="1"/>
    <col min="3077" max="3077" width="17.42578125" style="763" customWidth="1"/>
    <col min="3078" max="3078" width="19.7109375" style="763" customWidth="1"/>
    <col min="3079" max="3079" width="27.7109375" style="763" customWidth="1"/>
    <col min="3080" max="3080" width="18.140625" style="763" customWidth="1"/>
    <col min="3081" max="3081" width="17.85546875" style="763" customWidth="1"/>
    <col min="3082" max="3082" width="15.42578125" style="763" customWidth="1"/>
    <col min="3083" max="3083" width="14.42578125" style="763" customWidth="1"/>
    <col min="3084" max="3084" width="15" style="763" customWidth="1"/>
    <col min="3085" max="3085" width="13.28515625" style="763" customWidth="1"/>
    <col min="3086" max="3328" width="9.140625" style="763"/>
    <col min="3329" max="3329" width="9.140625" style="763" customWidth="1"/>
    <col min="3330" max="3330" width="18" style="763" bestFit="1" customWidth="1"/>
    <col min="3331" max="3331" width="96.85546875" style="763" customWidth="1"/>
    <col min="3332" max="3332" width="8.42578125" style="763" bestFit="1" customWidth="1"/>
    <col min="3333" max="3333" width="17.42578125" style="763" customWidth="1"/>
    <col min="3334" max="3334" width="19.7109375" style="763" customWidth="1"/>
    <col min="3335" max="3335" width="27.7109375" style="763" customWidth="1"/>
    <col min="3336" max="3336" width="18.140625" style="763" customWidth="1"/>
    <col min="3337" max="3337" width="17.85546875" style="763" customWidth="1"/>
    <col min="3338" max="3338" width="15.42578125" style="763" customWidth="1"/>
    <col min="3339" max="3339" width="14.42578125" style="763" customWidth="1"/>
    <col min="3340" max="3340" width="15" style="763" customWidth="1"/>
    <col min="3341" max="3341" width="13.28515625" style="763" customWidth="1"/>
    <col min="3342" max="3584" width="9.140625" style="763"/>
    <col min="3585" max="3585" width="9.140625" style="763" customWidth="1"/>
    <col min="3586" max="3586" width="18" style="763" bestFit="1" customWidth="1"/>
    <col min="3587" max="3587" width="96.85546875" style="763" customWidth="1"/>
    <col min="3588" max="3588" width="8.42578125" style="763" bestFit="1" customWidth="1"/>
    <col min="3589" max="3589" width="17.42578125" style="763" customWidth="1"/>
    <col min="3590" max="3590" width="19.7109375" style="763" customWidth="1"/>
    <col min="3591" max="3591" width="27.7109375" style="763" customWidth="1"/>
    <col min="3592" max="3592" width="18.140625" style="763" customWidth="1"/>
    <col min="3593" max="3593" width="17.85546875" style="763" customWidth="1"/>
    <col min="3594" max="3594" width="15.42578125" style="763" customWidth="1"/>
    <col min="3595" max="3595" width="14.42578125" style="763" customWidth="1"/>
    <col min="3596" max="3596" width="15" style="763" customWidth="1"/>
    <col min="3597" max="3597" width="13.28515625" style="763" customWidth="1"/>
    <col min="3598" max="3840" width="9.140625" style="763"/>
    <col min="3841" max="3841" width="9.140625" style="763" customWidth="1"/>
    <col min="3842" max="3842" width="18" style="763" bestFit="1" customWidth="1"/>
    <col min="3843" max="3843" width="96.85546875" style="763" customWidth="1"/>
    <col min="3844" max="3844" width="8.42578125" style="763" bestFit="1" customWidth="1"/>
    <col min="3845" max="3845" width="17.42578125" style="763" customWidth="1"/>
    <col min="3846" max="3846" width="19.7109375" style="763" customWidth="1"/>
    <col min="3847" max="3847" width="27.7109375" style="763" customWidth="1"/>
    <col min="3848" max="3848" width="18.140625" style="763" customWidth="1"/>
    <col min="3849" max="3849" width="17.85546875" style="763" customWidth="1"/>
    <col min="3850" max="3850" width="15.42578125" style="763" customWidth="1"/>
    <col min="3851" max="3851" width="14.42578125" style="763" customWidth="1"/>
    <col min="3852" max="3852" width="15" style="763" customWidth="1"/>
    <col min="3853" max="3853" width="13.28515625" style="763" customWidth="1"/>
    <col min="3854" max="4096" width="9.140625" style="763"/>
    <col min="4097" max="4097" width="9.140625" style="763" customWidth="1"/>
    <col min="4098" max="4098" width="18" style="763" bestFit="1" customWidth="1"/>
    <col min="4099" max="4099" width="96.85546875" style="763" customWidth="1"/>
    <col min="4100" max="4100" width="8.42578125" style="763" bestFit="1" customWidth="1"/>
    <col min="4101" max="4101" width="17.42578125" style="763" customWidth="1"/>
    <col min="4102" max="4102" width="19.7109375" style="763" customWidth="1"/>
    <col min="4103" max="4103" width="27.7109375" style="763" customWidth="1"/>
    <col min="4104" max="4104" width="18.140625" style="763" customWidth="1"/>
    <col min="4105" max="4105" width="17.85546875" style="763" customWidth="1"/>
    <col min="4106" max="4106" width="15.42578125" style="763" customWidth="1"/>
    <col min="4107" max="4107" width="14.42578125" style="763" customWidth="1"/>
    <col min="4108" max="4108" width="15" style="763" customWidth="1"/>
    <col min="4109" max="4109" width="13.28515625" style="763" customWidth="1"/>
    <col min="4110" max="4352" width="9.140625" style="763"/>
    <col min="4353" max="4353" width="9.140625" style="763" customWidth="1"/>
    <col min="4354" max="4354" width="18" style="763" bestFit="1" customWidth="1"/>
    <col min="4355" max="4355" width="96.85546875" style="763" customWidth="1"/>
    <col min="4356" max="4356" width="8.42578125" style="763" bestFit="1" customWidth="1"/>
    <col min="4357" max="4357" width="17.42578125" style="763" customWidth="1"/>
    <col min="4358" max="4358" width="19.7109375" style="763" customWidth="1"/>
    <col min="4359" max="4359" width="27.7109375" style="763" customWidth="1"/>
    <col min="4360" max="4360" width="18.140625" style="763" customWidth="1"/>
    <col min="4361" max="4361" width="17.85546875" style="763" customWidth="1"/>
    <col min="4362" max="4362" width="15.42578125" style="763" customWidth="1"/>
    <col min="4363" max="4363" width="14.42578125" style="763" customWidth="1"/>
    <col min="4364" max="4364" width="15" style="763" customWidth="1"/>
    <col min="4365" max="4365" width="13.28515625" style="763" customWidth="1"/>
    <col min="4366" max="4608" width="9.140625" style="763"/>
    <col min="4609" max="4609" width="9.140625" style="763" customWidth="1"/>
    <col min="4610" max="4610" width="18" style="763" bestFit="1" customWidth="1"/>
    <col min="4611" max="4611" width="96.85546875" style="763" customWidth="1"/>
    <col min="4612" max="4612" width="8.42578125" style="763" bestFit="1" customWidth="1"/>
    <col min="4613" max="4613" width="17.42578125" style="763" customWidth="1"/>
    <col min="4614" max="4614" width="19.7109375" style="763" customWidth="1"/>
    <col min="4615" max="4615" width="27.7109375" style="763" customWidth="1"/>
    <col min="4616" max="4616" width="18.140625" style="763" customWidth="1"/>
    <col min="4617" max="4617" width="17.85546875" style="763" customWidth="1"/>
    <col min="4618" max="4618" width="15.42578125" style="763" customWidth="1"/>
    <col min="4619" max="4619" width="14.42578125" style="763" customWidth="1"/>
    <col min="4620" max="4620" width="15" style="763" customWidth="1"/>
    <col min="4621" max="4621" width="13.28515625" style="763" customWidth="1"/>
    <col min="4622" max="4864" width="9.140625" style="763"/>
    <col min="4865" max="4865" width="9.140625" style="763" customWidth="1"/>
    <col min="4866" max="4866" width="18" style="763" bestFit="1" customWidth="1"/>
    <col min="4867" max="4867" width="96.85546875" style="763" customWidth="1"/>
    <col min="4868" max="4868" width="8.42578125" style="763" bestFit="1" customWidth="1"/>
    <col min="4869" max="4869" width="17.42578125" style="763" customWidth="1"/>
    <col min="4870" max="4870" width="19.7109375" style="763" customWidth="1"/>
    <col min="4871" max="4871" width="27.7109375" style="763" customWidth="1"/>
    <col min="4872" max="4872" width="18.140625" style="763" customWidth="1"/>
    <col min="4873" max="4873" width="17.85546875" style="763" customWidth="1"/>
    <col min="4874" max="4874" width="15.42578125" style="763" customWidth="1"/>
    <col min="4875" max="4875" width="14.42578125" style="763" customWidth="1"/>
    <col min="4876" max="4876" width="15" style="763" customWidth="1"/>
    <col min="4877" max="4877" width="13.28515625" style="763" customWidth="1"/>
    <col min="4878" max="5120" width="9.140625" style="763"/>
    <col min="5121" max="5121" width="9.140625" style="763" customWidth="1"/>
    <col min="5122" max="5122" width="18" style="763" bestFit="1" customWidth="1"/>
    <col min="5123" max="5123" width="96.85546875" style="763" customWidth="1"/>
    <col min="5124" max="5124" width="8.42578125" style="763" bestFit="1" customWidth="1"/>
    <col min="5125" max="5125" width="17.42578125" style="763" customWidth="1"/>
    <col min="5126" max="5126" width="19.7109375" style="763" customWidth="1"/>
    <col min="5127" max="5127" width="27.7109375" style="763" customWidth="1"/>
    <col min="5128" max="5128" width="18.140625" style="763" customWidth="1"/>
    <col min="5129" max="5129" width="17.85546875" style="763" customWidth="1"/>
    <col min="5130" max="5130" width="15.42578125" style="763" customWidth="1"/>
    <col min="5131" max="5131" width="14.42578125" style="763" customWidth="1"/>
    <col min="5132" max="5132" width="15" style="763" customWidth="1"/>
    <col min="5133" max="5133" width="13.28515625" style="763" customWidth="1"/>
    <col min="5134" max="5376" width="9.140625" style="763"/>
    <col min="5377" max="5377" width="9.140625" style="763" customWidth="1"/>
    <col min="5378" max="5378" width="18" style="763" bestFit="1" customWidth="1"/>
    <col min="5379" max="5379" width="96.85546875" style="763" customWidth="1"/>
    <col min="5380" max="5380" width="8.42578125" style="763" bestFit="1" customWidth="1"/>
    <col min="5381" max="5381" width="17.42578125" style="763" customWidth="1"/>
    <col min="5382" max="5382" width="19.7109375" style="763" customWidth="1"/>
    <col min="5383" max="5383" width="27.7109375" style="763" customWidth="1"/>
    <col min="5384" max="5384" width="18.140625" style="763" customWidth="1"/>
    <col min="5385" max="5385" width="17.85546875" style="763" customWidth="1"/>
    <col min="5386" max="5386" width="15.42578125" style="763" customWidth="1"/>
    <col min="5387" max="5387" width="14.42578125" style="763" customWidth="1"/>
    <col min="5388" max="5388" width="15" style="763" customWidth="1"/>
    <col min="5389" max="5389" width="13.28515625" style="763" customWidth="1"/>
    <col min="5390" max="5632" width="9.140625" style="763"/>
    <col min="5633" max="5633" width="9.140625" style="763" customWidth="1"/>
    <col min="5634" max="5634" width="18" style="763" bestFit="1" customWidth="1"/>
    <col min="5635" max="5635" width="96.85546875" style="763" customWidth="1"/>
    <col min="5636" max="5636" width="8.42578125" style="763" bestFit="1" customWidth="1"/>
    <col min="5637" max="5637" width="17.42578125" style="763" customWidth="1"/>
    <col min="5638" max="5638" width="19.7109375" style="763" customWidth="1"/>
    <col min="5639" max="5639" width="27.7109375" style="763" customWidth="1"/>
    <col min="5640" max="5640" width="18.140625" style="763" customWidth="1"/>
    <col min="5641" max="5641" width="17.85546875" style="763" customWidth="1"/>
    <col min="5642" max="5642" width="15.42578125" style="763" customWidth="1"/>
    <col min="5643" max="5643" width="14.42578125" style="763" customWidth="1"/>
    <col min="5644" max="5644" width="15" style="763" customWidth="1"/>
    <col min="5645" max="5645" width="13.28515625" style="763" customWidth="1"/>
    <col min="5646" max="5888" width="9.140625" style="763"/>
    <col min="5889" max="5889" width="9.140625" style="763" customWidth="1"/>
    <col min="5890" max="5890" width="18" style="763" bestFit="1" customWidth="1"/>
    <col min="5891" max="5891" width="96.85546875" style="763" customWidth="1"/>
    <col min="5892" max="5892" width="8.42578125" style="763" bestFit="1" customWidth="1"/>
    <col min="5893" max="5893" width="17.42578125" style="763" customWidth="1"/>
    <col min="5894" max="5894" width="19.7109375" style="763" customWidth="1"/>
    <col min="5895" max="5895" width="27.7109375" style="763" customWidth="1"/>
    <col min="5896" max="5896" width="18.140625" style="763" customWidth="1"/>
    <col min="5897" max="5897" width="17.85546875" style="763" customWidth="1"/>
    <col min="5898" max="5898" width="15.42578125" style="763" customWidth="1"/>
    <col min="5899" max="5899" width="14.42578125" style="763" customWidth="1"/>
    <col min="5900" max="5900" width="15" style="763" customWidth="1"/>
    <col min="5901" max="5901" width="13.28515625" style="763" customWidth="1"/>
    <col min="5902" max="6144" width="9.140625" style="763"/>
    <col min="6145" max="6145" width="9.140625" style="763" customWidth="1"/>
    <col min="6146" max="6146" width="18" style="763" bestFit="1" customWidth="1"/>
    <col min="6147" max="6147" width="96.85546875" style="763" customWidth="1"/>
    <col min="6148" max="6148" width="8.42578125" style="763" bestFit="1" customWidth="1"/>
    <col min="6149" max="6149" width="17.42578125" style="763" customWidth="1"/>
    <col min="6150" max="6150" width="19.7109375" style="763" customWidth="1"/>
    <col min="6151" max="6151" width="27.7109375" style="763" customWidth="1"/>
    <col min="6152" max="6152" width="18.140625" style="763" customWidth="1"/>
    <col min="6153" max="6153" width="17.85546875" style="763" customWidth="1"/>
    <col min="6154" max="6154" width="15.42578125" style="763" customWidth="1"/>
    <col min="6155" max="6155" width="14.42578125" style="763" customWidth="1"/>
    <col min="6156" max="6156" width="15" style="763" customWidth="1"/>
    <col min="6157" max="6157" width="13.28515625" style="763" customWidth="1"/>
    <col min="6158" max="6400" width="9.140625" style="763"/>
    <col min="6401" max="6401" width="9.140625" style="763" customWidth="1"/>
    <col min="6402" max="6402" width="18" style="763" bestFit="1" customWidth="1"/>
    <col min="6403" max="6403" width="96.85546875" style="763" customWidth="1"/>
    <col min="6404" max="6404" width="8.42578125" style="763" bestFit="1" customWidth="1"/>
    <col min="6405" max="6405" width="17.42578125" style="763" customWidth="1"/>
    <col min="6406" max="6406" width="19.7109375" style="763" customWidth="1"/>
    <col min="6407" max="6407" width="27.7109375" style="763" customWidth="1"/>
    <col min="6408" max="6408" width="18.140625" style="763" customWidth="1"/>
    <col min="6409" max="6409" width="17.85546875" style="763" customWidth="1"/>
    <col min="6410" max="6410" width="15.42578125" style="763" customWidth="1"/>
    <col min="6411" max="6411" width="14.42578125" style="763" customWidth="1"/>
    <col min="6412" max="6412" width="15" style="763" customWidth="1"/>
    <col min="6413" max="6413" width="13.28515625" style="763" customWidth="1"/>
    <col min="6414" max="6656" width="9.140625" style="763"/>
    <col min="6657" max="6657" width="9.140625" style="763" customWidth="1"/>
    <col min="6658" max="6658" width="18" style="763" bestFit="1" customWidth="1"/>
    <col min="6659" max="6659" width="96.85546875" style="763" customWidth="1"/>
    <col min="6660" max="6660" width="8.42578125" style="763" bestFit="1" customWidth="1"/>
    <col min="6661" max="6661" width="17.42578125" style="763" customWidth="1"/>
    <col min="6662" max="6662" width="19.7109375" style="763" customWidth="1"/>
    <col min="6663" max="6663" width="27.7109375" style="763" customWidth="1"/>
    <col min="6664" max="6664" width="18.140625" style="763" customWidth="1"/>
    <col min="6665" max="6665" width="17.85546875" style="763" customWidth="1"/>
    <col min="6666" max="6666" width="15.42578125" style="763" customWidth="1"/>
    <col min="6667" max="6667" width="14.42578125" style="763" customWidth="1"/>
    <col min="6668" max="6668" width="15" style="763" customWidth="1"/>
    <col min="6669" max="6669" width="13.28515625" style="763" customWidth="1"/>
    <col min="6670" max="6912" width="9.140625" style="763"/>
    <col min="6913" max="6913" width="9.140625" style="763" customWidth="1"/>
    <col min="6914" max="6914" width="18" style="763" bestFit="1" customWidth="1"/>
    <col min="6915" max="6915" width="96.85546875" style="763" customWidth="1"/>
    <col min="6916" max="6916" width="8.42578125" style="763" bestFit="1" customWidth="1"/>
    <col min="6917" max="6917" width="17.42578125" style="763" customWidth="1"/>
    <col min="6918" max="6918" width="19.7109375" style="763" customWidth="1"/>
    <col min="6919" max="6919" width="27.7109375" style="763" customWidth="1"/>
    <col min="6920" max="6920" width="18.140625" style="763" customWidth="1"/>
    <col min="6921" max="6921" width="17.85546875" style="763" customWidth="1"/>
    <col min="6922" max="6922" width="15.42578125" style="763" customWidth="1"/>
    <col min="6923" max="6923" width="14.42578125" style="763" customWidth="1"/>
    <col min="6924" max="6924" width="15" style="763" customWidth="1"/>
    <col min="6925" max="6925" width="13.28515625" style="763" customWidth="1"/>
    <col min="6926" max="7168" width="9.140625" style="763"/>
    <col min="7169" max="7169" width="9.140625" style="763" customWidth="1"/>
    <col min="7170" max="7170" width="18" style="763" bestFit="1" customWidth="1"/>
    <col min="7171" max="7171" width="96.85546875" style="763" customWidth="1"/>
    <col min="7172" max="7172" width="8.42578125" style="763" bestFit="1" customWidth="1"/>
    <col min="7173" max="7173" width="17.42578125" style="763" customWidth="1"/>
    <col min="7174" max="7174" width="19.7109375" style="763" customWidth="1"/>
    <col min="7175" max="7175" width="27.7109375" style="763" customWidth="1"/>
    <col min="7176" max="7176" width="18.140625" style="763" customWidth="1"/>
    <col min="7177" max="7177" width="17.85546875" style="763" customWidth="1"/>
    <col min="7178" max="7178" width="15.42578125" style="763" customWidth="1"/>
    <col min="7179" max="7179" width="14.42578125" style="763" customWidth="1"/>
    <col min="7180" max="7180" width="15" style="763" customWidth="1"/>
    <col min="7181" max="7181" width="13.28515625" style="763" customWidth="1"/>
    <col min="7182" max="7424" width="9.140625" style="763"/>
    <col min="7425" max="7425" width="9.140625" style="763" customWidth="1"/>
    <col min="7426" max="7426" width="18" style="763" bestFit="1" customWidth="1"/>
    <col min="7427" max="7427" width="96.85546875" style="763" customWidth="1"/>
    <col min="7428" max="7428" width="8.42578125" style="763" bestFit="1" customWidth="1"/>
    <col min="7429" max="7429" width="17.42578125" style="763" customWidth="1"/>
    <col min="7430" max="7430" width="19.7109375" style="763" customWidth="1"/>
    <col min="7431" max="7431" width="27.7109375" style="763" customWidth="1"/>
    <col min="7432" max="7432" width="18.140625" style="763" customWidth="1"/>
    <col min="7433" max="7433" width="17.85546875" style="763" customWidth="1"/>
    <col min="7434" max="7434" width="15.42578125" style="763" customWidth="1"/>
    <col min="7435" max="7435" width="14.42578125" style="763" customWidth="1"/>
    <col min="7436" max="7436" width="15" style="763" customWidth="1"/>
    <col min="7437" max="7437" width="13.28515625" style="763" customWidth="1"/>
    <col min="7438" max="7680" width="9.140625" style="763"/>
    <col min="7681" max="7681" width="9.140625" style="763" customWidth="1"/>
    <col min="7682" max="7682" width="18" style="763" bestFit="1" customWidth="1"/>
    <col min="7683" max="7683" width="96.85546875" style="763" customWidth="1"/>
    <col min="7684" max="7684" width="8.42578125" style="763" bestFit="1" customWidth="1"/>
    <col min="7685" max="7685" width="17.42578125" style="763" customWidth="1"/>
    <col min="7686" max="7686" width="19.7109375" style="763" customWidth="1"/>
    <col min="7687" max="7687" width="27.7109375" style="763" customWidth="1"/>
    <col min="7688" max="7688" width="18.140625" style="763" customWidth="1"/>
    <col min="7689" max="7689" width="17.85546875" style="763" customWidth="1"/>
    <col min="7690" max="7690" width="15.42578125" style="763" customWidth="1"/>
    <col min="7691" max="7691" width="14.42578125" style="763" customWidth="1"/>
    <col min="7692" max="7692" width="15" style="763" customWidth="1"/>
    <col min="7693" max="7693" width="13.28515625" style="763" customWidth="1"/>
    <col min="7694" max="7936" width="9.140625" style="763"/>
    <col min="7937" max="7937" width="9.140625" style="763" customWidth="1"/>
    <col min="7938" max="7938" width="18" style="763" bestFit="1" customWidth="1"/>
    <col min="7939" max="7939" width="96.85546875" style="763" customWidth="1"/>
    <col min="7940" max="7940" width="8.42578125" style="763" bestFit="1" customWidth="1"/>
    <col min="7941" max="7941" width="17.42578125" style="763" customWidth="1"/>
    <col min="7942" max="7942" width="19.7109375" style="763" customWidth="1"/>
    <col min="7943" max="7943" width="27.7109375" style="763" customWidth="1"/>
    <col min="7944" max="7944" width="18.140625" style="763" customWidth="1"/>
    <col min="7945" max="7945" width="17.85546875" style="763" customWidth="1"/>
    <col min="7946" max="7946" width="15.42578125" style="763" customWidth="1"/>
    <col min="7947" max="7947" width="14.42578125" style="763" customWidth="1"/>
    <col min="7948" max="7948" width="15" style="763" customWidth="1"/>
    <col min="7949" max="7949" width="13.28515625" style="763" customWidth="1"/>
    <col min="7950" max="8192" width="9.140625" style="763"/>
    <col min="8193" max="8193" width="9.140625" style="763" customWidth="1"/>
    <col min="8194" max="8194" width="18" style="763" bestFit="1" customWidth="1"/>
    <col min="8195" max="8195" width="96.85546875" style="763" customWidth="1"/>
    <col min="8196" max="8196" width="8.42578125" style="763" bestFit="1" customWidth="1"/>
    <col min="8197" max="8197" width="17.42578125" style="763" customWidth="1"/>
    <col min="8198" max="8198" width="19.7109375" style="763" customWidth="1"/>
    <col min="8199" max="8199" width="27.7109375" style="763" customWidth="1"/>
    <col min="8200" max="8200" width="18.140625" style="763" customWidth="1"/>
    <col min="8201" max="8201" width="17.85546875" style="763" customWidth="1"/>
    <col min="8202" max="8202" width="15.42578125" style="763" customWidth="1"/>
    <col min="8203" max="8203" width="14.42578125" style="763" customWidth="1"/>
    <col min="8204" max="8204" width="15" style="763" customWidth="1"/>
    <col min="8205" max="8205" width="13.28515625" style="763" customWidth="1"/>
    <col min="8206" max="8448" width="9.140625" style="763"/>
    <col min="8449" max="8449" width="9.140625" style="763" customWidth="1"/>
    <col min="8450" max="8450" width="18" style="763" bestFit="1" customWidth="1"/>
    <col min="8451" max="8451" width="96.85546875" style="763" customWidth="1"/>
    <col min="8452" max="8452" width="8.42578125" style="763" bestFit="1" customWidth="1"/>
    <col min="8453" max="8453" width="17.42578125" style="763" customWidth="1"/>
    <col min="8454" max="8454" width="19.7109375" style="763" customWidth="1"/>
    <col min="8455" max="8455" width="27.7109375" style="763" customWidth="1"/>
    <col min="8456" max="8456" width="18.140625" style="763" customWidth="1"/>
    <col min="8457" max="8457" width="17.85546875" style="763" customWidth="1"/>
    <col min="8458" max="8458" width="15.42578125" style="763" customWidth="1"/>
    <col min="8459" max="8459" width="14.42578125" style="763" customWidth="1"/>
    <col min="8460" max="8460" width="15" style="763" customWidth="1"/>
    <col min="8461" max="8461" width="13.28515625" style="763" customWidth="1"/>
    <col min="8462" max="8704" width="9.140625" style="763"/>
    <col min="8705" max="8705" width="9.140625" style="763" customWidth="1"/>
    <col min="8706" max="8706" width="18" style="763" bestFit="1" customWidth="1"/>
    <col min="8707" max="8707" width="96.85546875" style="763" customWidth="1"/>
    <col min="8708" max="8708" width="8.42578125" style="763" bestFit="1" customWidth="1"/>
    <col min="8709" max="8709" width="17.42578125" style="763" customWidth="1"/>
    <col min="8710" max="8710" width="19.7109375" style="763" customWidth="1"/>
    <col min="8711" max="8711" width="27.7109375" style="763" customWidth="1"/>
    <col min="8712" max="8712" width="18.140625" style="763" customWidth="1"/>
    <col min="8713" max="8713" width="17.85546875" style="763" customWidth="1"/>
    <col min="8714" max="8714" width="15.42578125" style="763" customWidth="1"/>
    <col min="8715" max="8715" width="14.42578125" style="763" customWidth="1"/>
    <col min="8716" max="8716" width="15" style="763" customWidth="1"/>
    <col min="8717" max="8717" width="13.28515625" style="763" customWidth="1"/>
    <col min="8718" max="8960" width="9.140625" style="763"/>
    <col min="8961" max="8961" width="9.140625" style="763" customWidth="1"/>
    <col min="8962" max="8962" width="18" style="763" bestFit="1" customWidth="1"/>
    <col min="8963" max="8963" width="96.85546875" style="763" customWidth="1"/>
    <col min="8964" max="8964" width="8.42578125" style="763" bestFit="1" customWidth="1"/>
    <col min="8965" max="8965" width="17.42578125" style="763" customWidth="1"/>
    <col min="8966" max="8966" width="19.7109375" style="763" customWidth="1"/>
    <col min="8967" max="8967" width="27.7109375" style="763" customWidth="1"/>
    <col min="8968" max="8968" width="18.140625" style="763" customWidth="1"/>
    <col min="8969" max="8969" width="17.85546875" style="763" customWidth="1"/>
    <col min="8970" max="8970" width="15.42578125" style="763" customWidth="1"/>
    <col min="8971" max="8971" width="14.42578125" style="763" customWidth="1"/>
    <col min="8972" max="8972" width="15" style="763" customWidth="1"/>
    <col min="8973" max="8973" width="13.28515625" style="763" customWidth="1"/>
    <col min="8974" max="9216" width="9.140625" style="763"/>
    <col min="9217" max="9217" width="9.140625" style="763" customWidth="1"/>
    <col min="9218" max="9218" width="18" style="763" bestFit="1" customWidth="1"/>
    <col min="9219" max="9219" width="96.85546875" style="763" customWidth="1"/>
    <col min="9220" max="9220" width="8.42578125" style="763" bestFit="1" customWidth="1"/>
    <col min="9221" max="9221" width="17.42578125" style="763" customWidth="1"/>
    <col min="9222" max="9222" width="19.7109375" style="763" customWidth="1"/>
    <col min="9223" max="9223" width="27.7109375" style="763" customWidth="1"/>
    <col min="9224" max="9224" width="18.140625" style="763" customWidth="1"/>
    <col min="9225" max="9225" width="17.85546875" style="763" customWidth="1"/>
    <col min="9226" max="9226" width="15.42578125" style="763" customWidth="1"/>
    <col min="9227" max="9227" width="14.42578125" style="763" customWidth="1"/>
    <col min="9228" max="9228" width="15" style="763" customWidth="1"/>
    <col min="9229" max="9229" width="13.28515625" style="763" customWidth="1"/>
    <col min="9230" max="9472" width="9.140625" style="763"/>
    <col min="9473" max="9473" width="9.140625" style="763" customWidth="1"/>
    <col min="9474" max="9474" width="18" style="763" bestFit="1" customWidth="1"/>
    <col min="9475" max="9475" width="96.85546875" style="763" customWidth="1"/>
    <col min="9476" max="9476" width="8.42578125" style="763" bestFit="1" customWidth="1"/>
    <col min="9477" max="9477" width="17.42578125" style="763" customWidth="1"/>
    <col min="9478" max="9478" width="19.7109375" style="763" customWidth="1"/>
    <col min="9479" max="9479" width="27.7109375" style="763" customWidth="1"/>
    <col min="9480" max="9480" width="18.140625" style="763" customWidth="1"/>
    <col min="9481" max="9481" width="17.85546875" style="763" customWidth="1"/>
    <col min="9482" max="9482" width="15.42578125" style="763" customWidth="1"/>
    <col min="9483" max="9483" width="14.42578125" style="763" customWidth="1"/>
    <col min="9484" max="9484" width="15" style="763" customWidth="1"/>
    <col min="9485" max="9485" width="13.28515625" style="763" customWidth="1"/>
    <col min="9486" max="9728" width="9.140625" style="763"/>
    <col min="9729" max="9729" width="9.140625" style="763" customWidth="1"/>
    <col min="9730" max="9730" width="18" style="763" bestFit="1" customWidth="1"/>
    <col min="9731" max="9731" width="96.85546875" style="763" customWidth="1"/>
    <col min="9732" max="9732" width="8.42578125" style="763" bestFit="1" customWidth="1"/>
    <col min="9733" max="9733" width="17.42578125" style="763" customWidth="1"/>
    <col min="9734" max="9734" width="19.7109375" style="763" customWidth="1"/>
    <col min="9735" max="9735" width="27.7109375" style="763" customWidth="1"/>
    <col min="9736" max="9736" width="18.140625" style="763" customWidth="1"/>
    <col min="9737" max="9737" width="17.85546875" style="763" customWidth="1"/>
    <col min="9738" max="9738" width="15.42578125" style="763" customWidth="1"/>
    <col min="9739" max="9739" width="14.42578125" style="763" customWidth="1"/>
    <col min="9740" max="9740" width="15" style="763" customWidth="1"/>
    <col min="9741" max="9741" width="13.28515625" style="763" customWidth="1"/>
    <col min="9742" max="9984" width="9.140625" style="763"/>
    <col min="9985" max="9985" width="9.140625" style="763" customWidth="1"/>
    <col min="9986" max="9986" width="18" style="763" bestFit="1" customWidth="1"/>
    <col min="9987" max="9987" width="96.85546875" style="763" customWidth="1"/>
    <col min="9988" max="9988" width="8.42578125" style="763" bestFit="1" customWidth="1"/>
    <col min="9989" max="9989" width="17.42578125" style="763" customWidth="1"/>
    <col min="9990" max="9990" width="19.7109375" style="763" customWidth="1"/>
    <col min="9991" max="9991" width="27.7109375" style="763" customWidth="1"/>
    <col min="9992" max="9992" width="18.140625" style="763" customWidth="1"/>
    <col min="9993" max="9993" width="17.85546875" style="763" customWidth="1"/>
    <col min="9994" max="9994" width="15.42578125" style="763" customWidth="1"/>
    <col min="9995" max="9995" width="14.42578125" style="763" customWidth="1"/>
    <col min="9996" max="9996" width="15" style="763" customWidth="1"/>
    <col min="9997" max="9997" width="13.28515625" style="763" customWidth="1"/>
    <col min="9998" max="10240" width="9.140625" style="763"/>
    <col min="10241" max="10241" width="9.140625" style="763" customWidth="1"/>
    <col min="10242" max="10242" width="18" style="763" bestFit="1" customWidth="1"/>
    <col min="10243" max="10243" width="96.85546875" style="763" customWidth="1"/>
    <col min="10244" max="10244" width="8.42578125" style="763" bestFit="1" customWidth="1"/>
    <col min="10245" max="10245" width="17.42578125" style="763" customWidth="1"/>
    <col min="10246" max="10246" width="19.7109375" style="763" customWidth="1"/>
    <col min="10247" max="10247" width="27.7109375" style="763" customWidth="1"/>
    <col min="10248" max="10248" width="18.140625" style="763" customWidth="1"/>
    <col min="10249" max="10249" width="17.85546875" style="763" customWidth="1"/>
    <col min="10250" max="10250" width="15.42578125" style="763" customWidth="1"/>
    <col min="10251" max="10251" width="14.42578125" style="763" customWidth="1"/>
    <col min="10252" max="10252" width="15" style="763" customWidth="1"/>
    <col min="10253" max="10253" width="13.28515625" style="763" customWidth="1"/>
    <col min="10254" max="10496" width="9.140625" style="763"/>
    <col min="10497" max="10497" width="9.140625" style="763" customWidth="1"/>
    <col min="10498" max="10498" width="18" style="763" bestFit="1" customWidth="1"/>
    <col min="10499" max="10499" width="96.85546875" style="763" customWidth="1"/>
    <col min="10500" max="10500" width="8.42578125" style="763" bestFit="1" customWidth="1"/>
    <col min="10501" max="10501" width="17.42578125" style="763" customWidth="1"/>
    <col min="10502" max="10502" width="19.7109375" style="763" customWidth="1"/>
    <col min="10503" max="10503" width="27.7109375" style="763" customWidth="1"/>
    <col min="10504" max="10504" width="18.140625" style="763" customWidth="1"/>
    <col min="10505" max="10505" width="17.85546875" style="763" customWidth="1"/>
    <col min="10506" max="10506" width="15.42578125" style="763" customWidth="1"/>
    <col min="10507" max="10507" width="14.42578125" style="763" customWidth="1"/>
    <col min="10508" max="10508" width="15" style="763" customWidth="1"/>
    <col min="10509" max="10509" width="13.28515625" style="763" customWidth="1"/>
    <col min="10510" max="10752" width="9.140625" style="763"/>
    <col min="10753" max="10753" width="9.140625" style="763" customWidth="1"/>
    <col min="10754" max="10754" width="18" style="763" bestFit="1" customWidth="1"/>
    <col min="10755" max="10755" width="96.85546875" style="763" customWidth="1"/>
    <col min="10756" max="10756" width="8.42578125" style="763" bestFit="1" customWidth="1"/>
    <col min="10757" max="10757" width="17.42578125" style="763" customWidth="1"/>
    <col min="10758" max="10758" width="19.7109375" style="763" customWidth="1"/>
    <col min="10759" max="10759" width="27.7109375" style="763" customWidth="1"/>
    <col min="10760" max="10760" width="18.140625" style="763" customWidth="1"/>
    <col min="10761" max="10761" width="17.85546875" style="763" customWidth="1"/>
    <col min="10762" max="10762" width="15.42578125" style="763" customWidth="1"/>
    <col min="10763" max="10763" width="14.42578125" style="763" customWidth="1"/>
    <col min="10764" max="10764" width="15" style="763" customWidth="1"/>
    <col min="10765" max="10765" width="13.28515625" style="763" customWidth="1"/>
    <col min="10766" max="11008" width="9.140625" style="763"/>
    <col min="11009" max="11009" width="9.140625" style="763" customWidth="1"/>
    <col min="11010" max="11010" width="18" style="763" bestFit="1" customWidth="1"/>
    <col min="11011" max="11011" width="96.85546875" style="763" customWidth="1"/>
    <col min="11012" max="11012" width="8.42578125" style="763" bestFit="1" customWidth="1"/>
    <col min="11013" max="11013" width="17.42578125" style="763" customWidth="1"/>
    <col min="11014" max="11014" width="19.7109375" style="763" customWidth="1"/>
    <col min="11015" max="11015" width="27.7109375" style="763" customWidth="1"/>
    <col min="11016" max="11016" width="18.140625" style="763" customWidth="1"/>
    <col min="11017" max="11017" width="17.85546875" style="763" customWidth="1"/>
    <col min="11018" max="11018" width="15.42578125" style="763" customWidth="1"/>
    <col min="11019" max="11019" width="14.42578125" style="763" customWidth="1"/>
    <col min="11020" max="11020" width="15" style="763" customWidth="1"/>
    <col min="11021" max="11021" width="13.28515625" style="763" customWidth="1"/>
    <col min="11022" max="11264" width="9.140625" style="763"/>
    <col min="11265" max="11265" width="9.140625" style="763" customWidth="1"/>
    <col min="11266" max="11266" width="18" style="763" bestFit="1" customWidth="1"/>
    <col min="11267" max="11267" width="96.85546875" style="763" customWidth="1"/>
    <col min="11268" max="11268" width="8.42578125" style="763" bestFit="1" customWidth="1"/>
    <col min="11269" max="11269" width="17.42578125" style="763" customWidth="1"/>
    <col min="11270" max="11270" width="19.7109375" style="763" customWidth="1"/>
    <col min="11271" max="11271" width="27.7109375" style="763" customWidth="1"/>
    <col min="11272" max="11272" width="18.140625" style="763" customWidth="1"/>
    <col min="11273" max="11273" width="17.85546875" style="763" customWidth="1"/>
    <col min="11274" max="11274" width="15.42578125" style="763" customWidth="1"/>
    <col min="11275" max="11275" width="14.42578125" style="763" customWidth="1"/>
    <col min="11276" max="11276" width="15" style="763" customWidth="1"/>
    <col min="11277" max="11277" width="13.28515625" style="763" customWidth="1"/>
    <col min="11278" max="11520" width="9.140625" style="763"/>
    <col min="11521" max="11521" width="9.140625" style="763" customWidth="1"/>
    <col min="11522" max="11522" width="18" style="763" bestFit="1" customWidth="1"/>
    <col min="11523" max="11523" width="96.85546875" style="763" customWidth="1"/>
    <col min="11524" max="11524" width="8.42578125" style="763" bestFit="1" customWidth="1"/>
    <col min="11525" max="11525" width="17.42578125" style="763" customWidth="1"/>
    <col min="11526" max="11526" width="19.7109375" style="763" customWidth="1"/>
    <col min="11527" max="11527" width="27.7109375" style="763" customWidth="1"/>
    <col min="11528" max="11528" width="18.140625" style="763" customWidth="1"/>
    <col min="11529" max="11529" width="17.85546875" style="763" customWidth="1"/>
    <col min="11530" max="11530" width="15.42578125" style="763" customWidth="1"/>
    <col min="11531" max="11531" width="14.42578125" style="763" customWidth="1"/>
    <col min="11532" max="11532" width="15" style="763" customWidth="1"/>
    <col min="11533" max="11533" width="13.28515625" style="763" customWidth="1"/>
    <col min="11534" max="11776" width="9.140625" style="763"/>
    <col min="11777" max="11777" width="9.140625" style="763" customWidth="1"/>
    <col min="11778" max="11778" width="18" style="763" bestFit="1" customWidth="1"/>
    <col min="11779" max="11779" width="96.85546875" style="763" customWidth="1"/>
    <col min="11780" max="11780" width="8.42578125" style="763" bestFit="1" customWidth="1"/>
    <col min="11781" max="11781" width="17.42578125" style="763" customWidth="1"/>
    <col min="11782" max="11782" width="19.7109375" style="763" customWidth="1"/>
    <col min="11783" max="11783" width="27.7109375" style="763" customWidth="1"/>
    <col min="11784" max="11784" width="18.140625" style="763" customWidth="1"/>
    <col min="11785" max="11785" width="17.85546875" style="763" customWidth="1"/>
    <col min="11786" max="11786" width="15.42578125" style="763" customWidth="1"/>
    <col min="11787" max="11787" width="14.42578125" style="763" customWidth="1"/>
    <col min="11788" max="11788" width="15" style="763" customWidth="1"/>
    <col min="11789" max="11789" width="13.28515625" style="763" customWidth="1"/>
    <col min="11790" max="12032" width="9.140625" style="763"/>
    <col min="12033" max="12033" width="9.140625" style="763" customWidth="1"/>
    <col min="12034" max="12034" width="18" style="763" bestFit="1" customWidth="1"/>
    <col min="12035" max="12035" width="96.85546875" style="763" customWidth="1"/>
    <col min="12036" max="12036" width="8.42578125" style="763" bestFit="1" customWidth="1"/>
    <col min="12037" max="12037" width="17.42578125" style="763" customWidth="1"/>
    <col min="12038" max="12038" width="19.7109375" style="763" customWidth="1"/>
    <col min="12039" max="12039" width="27.7109375" style="763" customWidth="1"/>
    <col min="12040" max="12040" width="18.140625" style="763" customWidth="1"/>
    <col min="12041" max="12041" width="17.85546875" style="763" customWidth="1"/>
    <col min="12042" max="12042" width="15.42578125" style="763" customWidth="1"/>
    <col min="12043" max="12043" width="14.42578125" style="763" customWidth="1"/>
    <col min="12044" max="12044" width="15" style="763" customWidth="1"/>
    <col min="12045" max="12045" width="13.28515625" style="763" customWidth="1"/>
    <col min="12046" max="12288" width="9.140625" style="763"/>
    <col min="12289" max="12289" width="9.140625" style="763" customWidth="1"/>
    <col min="12290" max="12290" width="18" style="763" bestFit="1" customWidth="1"/>
    <col min="12291" max="12291" width="96.85546875" style="763" customWidth="1"/>
    <col min="12292" max="12292" width="8.42578125" style="763" bestFit="1" customWidth="1"/>
    <col min="12293" max="12293" width="17.42578125" style="763" customWidth="1"/>
    <col min="12294" max="12294" width="19.7109375" style="763" customWidth="1"/>
    <col min="12295" max="12295" width="27.7109375" style="763" customWidth="1"/>
    <col min="12296" max="12296" width="18.140625" style="763" customWidth="1"/>
    <col min="12297" max="12297" width="17.85546875" style="763" customWidth="1"/>
    <col min="12298" max="12298" width="15.42578125" style="763" customWidth="1"/>
    <col min="12299" max="12299" width="14.42578125" style="763" customWidth="1"/>
    <col min="12300" max="12300" width="15" style="763" customWidth="1"/>
    <col min="12301" max="12301" width="13.28515625" style="763" customWidth="1"/>
    <col min="12302" max="12544" width="9.140625" style="763"/>
    <col min="12545" max="12545" width="9.140625" style="763" customWidth="1"/>
    <col min="12546" max="12546" width="18" style="763" bestFit="1" customWidth="1"/>
    <col min="12547" max="12547" width="96.85546875" style="763" customWidth="1"/>
    <col min="12548" max="12548" width="8.42578125" style="763" bestFit="1" customWidth="1"/>
    <col min="12549" max="12549" width="17.42578125" style="763" customWidth="1"/>
    <col min="12550" max="12550" width="19.7109375" style="763" customWidth="1"/>
    <col min="12551" max="12551" width="27.7109375" style="763" customWidth="1"/>
    <col min="12552" max="12552" width="18.140625" style="763" customWidth="1"/>
    <col min="12553" max="12553" width="17.85546875" style="763" customWidth="1"/>
    <col min="12554" max="12554" width="15.42578125" style="763" customWidth="1"/>
    <col min="12555" max="12555" width="14.42578125" style="763" customWidth="1"/>
    <col min="12556" max="12556" width="15" style="763" customWidth="1"/>
    <col min="12557" max="12557" width="13.28515625" style="763" customWidth="1"/>
    <col min="12558" max="12800" width="9.140625" style="763"/>
    <col min="12801" max="12801" width="9.140625" style="763" customWidth="1"/>
    <col min="12802" max="12802" width="18" style="763" bestFit="1" customWidth="1"/>
    <col min="12803" max="12803" width="96.85546875" style="763" customWidth="1"/>
    <col min="12804" max="12804" width="8.42578125" style="763" bestFit="1" customWidth="1"/>
    <col min="12805" max="12805" width="17.42578125" style="763" customWidth="1"/>
    <col min="12806" max="12806" width="19.7109375" style="763" customWidth="1"/>
    <col min="12807" max="12807" width="27.7109375" style="763" customWidth="1"/>
    <col min="12808" max="12808" width="18.140625" style="763" customWidth="1"/>
    <col min="12809" max="12809" width="17.85546875" style="763" customWidth="1"/>
    <col min="12810" max="12810" width="15.42578125" style="763" customWidth="1"/>
    <col min="12811" max="12811" width="14.42578125" style="763" customWidth="1"/>
    <col min="12812" max="12812" width="15" style="763" customWidth="1"/>
    <col min="12813" max="12813" width="13.28515625" style="763" customWidth="1"/>
    <col min="12814" max="13056" width="9.140625" style="763"/>
    <col min="13057" max="13057" width="9.140625" style="763" customWidth="1"/>
    <col min="13058" max="13058" width="18" style="763" bestFit="1" customWidth="1"/>
    <col min="13059" max="13059" width="96.85546875" style="763" customWidth="1"/>
    <col min="13060" max="13060" width="8.42578125" style="763" bestFit="1" customWidth="1"/>
    <col min="13061" max="13061" width="17.42578125" style="763" customWidth="1"/>
    <col min="13062" max="13062" width="19.7109375" style="763" customWidth="1"/>
    <col min="13063" max="13063" width="27.7109375" style="763" customWidth="1"/>
    <col min="13064" max="13064" width="18.140625" style="763" customWidth="1"/>
    <col min="13065" max="13065" width="17.85546875" style="763" customWidth="1"/>
    <col min="13066" max="13066" width="15.42578125" style="763" customWidth="1"/>
    <col min="13067" max="13067" width="14.42578125" style="763" customWidth="1"/>
    <col min="13068" max="13068" width="15" style="763" customWidth="1"/>
    <col min="13069" max="13069" width="13.28515625" style="763" customWidth="1"/>
    <col min="13070" max="13312" width="9.140625" style="763"/>
    <col min="13313" max="13313" width="9.140625" style="763" customWidth="1"/>
    <col min="13314" max="13314" width="18" style="763" bestFit="1" customWidth="1"/>
    <col min="13315" max="13315" width="96.85546875" style="763" customWidth="1"/>
    <col min="13316" max="13316" width="8.42578125" style="763" bestFit="1" customWidth="1"/>
    <col min="13317" max="13317" width="17.42578125" style="763" customWidth="1"/>
    <col min="13318" max="13318" width="19.7109375" style="763" customWidth="1"/>
    <col min="13319" max="13319" width="27.7109375" style="763" customWidth="1"/>
    <col min="13320" max="13320" width="18.140625" style="763" customWidth="1"/>
    <col min="13321" max="13321" width="17.85546875" style="763" customWidth="1"/>
    <col min="13322" max="13322" width="15.42578125" style="763" customWidth="1"/>
    <col min="13323" max="13323" width="14.42578125" style="763" customWidth="1"/>
    <col min="13324" max="13324" width="15" style="763" customWidth="1"/>
    <col min="13325" max="13325" width="13.28515625" style="763" customWidth="1"/>
    <col min="13326" max="13568" width="9.140625" style="763"/>
    <col min="13569" max="13569" width="9.140625" style="763" customWidth="1"/>
    <col min="13570" max="13570" width="18" style="763" bestFit="1" customWidth="1"/>
    <col min="13571" max="13571" width="96.85546875" style="763" customWidth="1"/>
    <col min="13572" max="13572" width="8.42578125" style="763" bestFit="1" customWidth="1"/>
    <col min="13573" max="13573" width="17.42578125" style="763" customWidth="1"/>
    <col min="13574" max="13574" width="19.7109375" style="763" customWidth="1"/>
    <col min="13575" max="13575" width="27.7109375" style="763" customWidth="1"/>
    <col min="13576" max="13576" width="18.140625" style="763" customWidth="1"/>
    <col min="13577" max="13577" width="17.85546875" style="763" customWidth="1"/>
    <col min="13578" max="13578" width="15.42578125" style="763" customWidth="1"/>
    <col min="13579" max="13579" width="14.42578125" style="763" customWidth="1"/>
    <col min="13580" max="13580" width="15" style="763" customWidth="1"/>
    <col min="13581" max="13581" width="13.28515625" style="763" customWidth="1"/>
    <col min="13582" max="13824" width="9.140625" style="763"/>
    <col min="13825" max="13825" width="9.140625" style="763" customWidth="1"/>
    <col min="13826" max="13826" width="18" style="763" bestFit="1" customWidth="1"/>
    <col min="13827" max="13827" width="96.85546875" style="763" customWidth="1"/>
    <col min="13828" max="13828" width="8.42578125" style="763" bestFit="1" customWidth="1"/>
    <col min="13829" max="13829" width="17.42578125" style="763" customWidth="1"/>
    <col min="13830" max="13830" width="19.7109375" style="763" customWidth="1"/>
    <col min="13831" max="13831" width="27.7109375" style="763" customWidth="1"/>
    <col min="13832" max="13832" width="18.140625" style="763" customWidth="1"/>
    <col min="13833" max="13833" width="17.85546875" style="763" customWidth="1"/>
    <col min="13834" max="13834" width="15.42578125" style="763" customWidth="1"/>
    <col min="13835" max="13835" width="14.42578125" style="763" customWidth="1"/>
    <col min="13836" max="13836" width="15" style="763" customWidth="1"/>
    <col min="13837" max="13837" width="13.28515625" style="763" customWidth="1"/>
    <col min="13838" max="14080" width="9.140625" style="763"/>
    <col min="14081" max="14081" width="9.140625" style="763" customWidth="1"/>
    <col min="14082" max="14082" width="18" style="763" bestFit="1" customWidth="1"/>
    <col min="14083" max="14083" width="96.85546875" style="763" customWidth="1"/>
    <col min="14084" max="14084" width="8.42578125" style="763" bestFit="1" customWidth="1"/>
    <col min="14085" max="14085" width="17.42578125" style="763" customWidth="1"/>
    <col min="14086" max="14086" width="19.7109375" style="763" customWidth="1"/>
    <col min="14087" max="14087" width="27.7109375" style="763" customWidth="1"/>
    <col min="14088" max="14088" width="18.140625" style="763" customWidth="1"/>
    <col min="14089" max="14089" width="17.85546875" style="763" customWidth="1"/>
    <col min="14090" max="14090" width="15.42578125" style="763" customWidth="1"/>
    <col min="14091" max="14091" width="14.42578125" style="763" customWidth="1"/>
    <col min="14092" max="14092" width="15" style="763" customWidth="1"/>
    <col min="14093" max="14093" width="13.28515625" style="763" customWidth="1"/>
    <col min="14094" max="14336" width="9.140625" style="763"/>
    <col min="14337" max="14337" width="9.140625" style="763" customWidth="1"/>
    <col min="14338" max="14338" width="18" style="763" bestFit="1" customWidth="1"/>
    <col min="14339" max="14339" width="96.85546875" style="763" customWidth="1"/>
    <col min="14340" max="14340" width="8.42578125" style="763" bestFit="1" customWidth="1"/>
    <col min="14341" max="14341" width="17.42578125" style="763" customWidth="1"/>
    <col min="14342" max="14342" width="19.7109375" style="763" customWidth="1"/>
    <col min="14343" max="14343" width="27.7109375" style="763" customWidth="1"/>
    <col min="14344" max="14344" width="18.140625" style="763" customWidth="1"/>
    <col min="14345" max="14345" width="17.85546875" style="763" customWidth="1"/>
    <col min="14346" max="14346" width="15.42578125" style="763" customWidth="1"/>
    <col min="14347" max="14347" width="14.42578125" style="763" customWidth="1"/>
    <col min="14348" max="14348" width="15" style="763" customWidth="1"/>
    <col min="14349" max="14349" width="13.28515625" style="763" customWidth="1"/>
    <col min="14350" max="14592" width="9.140625" style="763"/>
    <col min="14593" max="14593" width="9.140625" style="763" customWidth="1"/>
    <col min="14594" max="14594" width="18" style="763" bestFit="1" customWidth="1"/>
    <col min="14595" max="14595" width="96.85546875" style="763" customWidth="1"/>
    <col min="14596" max="14596" width="8.42578125" style="763" bestFit="1" customWidth="1"/>
    <col min="14597" max="14597" width="17.42578125" style="763" customWidth="1"/>
    <col min="14598" max="14598" width="19.7109375" style="763" customWidth="1"/>
    <col min="14599" max="14599" width="27.7109375" style="763" customWidth="1"/>
    <col min="14600" max="14600" width="18.140625" style="763" customWidth="1"/>
    <col min="14601" max="14601" width="17.85546875" style="763" customWidth="1"/>
    <col min="14602" max="14602" width="15.42578125" style="763" customWidth="1"/>
    <col min="14603" max="14603" width="14.42578125" style="763" customWidth="1"/>
    <col min="14604" max="14604" width="15" style="763" customWidth="1"/>
    <col min="14605" max="14605" width="13.28515625" style="763" customWidth="1"/>
    <col min="14606" max="14848" width="9.140625" style="763"/>
    <col min="14849" max="14849" width="9.140625" style="763" customWidth="1"/>
    <col min="14850" max="14850" width="18" style="763" bestFit="1" customWidth="1"/>
    <col min="14851" max="14851" width="96.85546875" style="763" customWidth="1"/>
    <col min="14852" max="14852" width="8.42578125" style="763" bestFit="1" customWidth="1"/>
    <col min="14853" max="14853" width="17.42578125" style="763" customWidth="1"/>
    <col min="14854" max="14854" width="19.7109375" style="763" customWidth="1"/>
    <col min="14855" max="14855" width="27.7109375" style="763" customWidth="1"/>
    <col min="14856" max="14856" width="18.140625" style="763" customWidth="1"/>
    <col min="14857" max="14857" width="17.85546875" style="763" customWidth="1"/>
    <col min="14858" max="14858" width="15.42578125" style="763" customWidth="1"/>
    <col min="14859" max="14859" width="14.42578125" style="763" customWidth="1"/>
    <col min="14860" max="14860" width="15" style="763" customWidth="1"/>
    <col min="14861" max="14861" width="13.28515625" style="763" customWidth="1"/>
    <col min="14862" max="15104" width="9.140625" style="763"/>
    <col min="15105" max="15105" width="9.140625" style="763" customWidth="1"/>
    <col min="15106" max="15106" width="18" style="763" bestFit="1" customWidth="1"/>
    <col min="15107" max="15107" width="96.85546875" style="763" customWidth="1"/>
    <col min="15108" max="15108" width="8.42578125" style="763" bestFit="1" customWidth="1"/>
    <col min="15109" max="15109" width="17.42578125" style="763" customWidth="1"/>
    <col min="15110" max="15110" width="19.7109375" style="763" customWidth="1"/>
    <col min="15111" max="15111" width="27.7109375" style="763" customWidth="1"/>
    <col min="15112" max="15112" width="18.140625" style="763" customWidth="1"/>
    <col min="15113" max="15113" width="17.85546875" style="763" customWidth="1"/>
    <col min="15114" max="15114" width="15.42578125" style="763" customWidth="1"/>
    <col min="15115" max="15115" width="14.42578125" style="763" customWidth="1"/>
    <col min="15116" max="15116" width="15" style="763" customWidth="1"/>
    <col min="15117" max="15117" width="13.28515625" style="763" customWidth="1"/>
    <col min="15118" max="15360" width="9.140625" style="763"/>
    <col min="15361" max="15361" width="9.140625" style="763" customWidth="1"/>
    <col min="15362" max="15362" width="18" style="763" bestFit="1" customWidth="1"/>
    <col min="15363" max="15363" width="96.85546875" style="763" customWidth="1"/>
    <col min="15364" max="15364" width="8.42578125" style="763" bestFit="1" customWidth="1"/>
    <col min="15365" max="15365" width="17.42578125" style="763" customWidth="1"/>
    <col min="15366" max="15366" width="19.7109375" style="763" customWidth="1"/>
    <col min="15367" max="15367" width="27.7109375" style="763" customWidth="1"/>
    <col min="15368" max="15368" width="18.140625" style="763" customWidth="1"/>
    <col min="15369" max="15369" width="17.85546875" style="763" customWidth="1"/>
    <col min="15370" max="15370" width="15.42578125" style="763" customWidth="1"/>
    <col min="15371" max="15371" width="14.42578125" style="763" customWidth="1"/>
    <col min="15372" max="15372" width="15" style="763" customWidth="1"/>
    <col min="15373" max="15373" width="13.28515625" style="763" customWidth="1"/>
    <col min="15374" max="15616" width="9.140625" style="763"/>
    <col min="15617" max="15617" width="9.140625" style="763" customWidth="1"/>
    <col min="15618" max="15618" width="18" style="763" bestFit="1" customWidth="1"/>
    <col min="15619" max="15619" width="96.85546875" style="763" customWidth="1"/>
    <col min="15620" max="15620" width="8.42578125" style="763" bestFit="1" customWidth="1"/>
    <col min="15621" max="15621" width="17.42578125" style="763" customWidth="1"/>
    <col min="15622" max="15622" width="19.7109375" style="763" customWidth="1"/>
    <col min="15623" max="15623" width="27.7109375" style="763" customWidth="1"/>
    <col min="15624" max="15624" width="18.140625" style="763" customWidth="1"/>
    <col min="15625" max="15625" width="17.85546875" style="763" customWidth="1"/>
    <col min="15626" max="15626" width="15.42578125" style="763" customWidth="1"/>
    <col min="15627" max="15627" width="14.42578125" style="763" customWidth="1"/>
    <col min="15628" max="15628" width="15" style="763" customWidth="1"/>
    <col min="15629" max="15629" width="13.28515625" style="763" customWidth="1"/>
    <col min="15630" max="15872" width="9.140625" style="763"/>
    <col min="15873" max="15873" width="9.140625" style="763" customWidth="1"/>
    <col min="15874" max="15874" width="18" style="763" bestFit="1" customWidth="1"/>
    <col min="15875" max="15875" width="96.85546875" style="763" customWidth="1"/>
    <col min="15876" max="15876" width="8.42578125" style="763" bestFit="1" customWidth="1"/>
    <col min="15877" max="15877" width="17.42578125" style="763" customWidth="1"/>
    <col min="15878" max="15878" width="19.7109375" style="763" customWidth="1"/>
    <col min="15879" max="15879" width="27.7109375" style="763" customWidth="1"/>
    <col min="15880" max="15880" width="18.140625" style="763" customWidth="1"/>
    <col min="15881" max="15881" width="17.85546875" style="763" customWidth="1"/>
    <col min="15882" max="15882" width="15.42578125" style="763" customWidth="1"/>
    <col min="15883" max="15883" width="14.42578125" style="763" customWidth="1"/>
    <col min="15884" max="15884" width="15" style="763" customWidth="1"/>
    <col min="15885" max="15885" width="13.28515625" style="763" customWidth="1"/>
    <col min="15886" max="16128" width="9.140625" style="763"/>
    <col min="16129" max="16129" width="9.140625" style="763" customWidth="1"/>
    <col min="16130" max="16130" width="18" style="763" bestFit="1" customWidth="1"/>
    <col min="16131" max="16131" width="96.85546875" style="763" customWidth="1"/>
    <col min="16132" max="16132" width="8.42578125" style="763" bestFit="1" customWidth="1"/>
    <col min="16133" max="16133" width="17.42578125" style="763" customWidth="1"/>
    <col min="16134" max="16134" width="19.7109375" style="763" customWidth="1"/>
    <col min="16135" max="16135" width="27.7109375" style="763" customWidth="1"/>
    <col min="16136" max="16136" width="18.140625" style="763" customWidth="1"/>
    <col min="16137" max="16137" width="17.85546875" style="763" customWidth="1"/>
    <col min="16138" max="16138" width="15.42578125" style="763" customWidth="1"/>
    <col min="16139" max="16139" width="14.42578125" style="763" customWidth="1"/>
    <col min="16140" max="16140" width="15" style="763" customWidth="1"/>
    <col min="16141" max="16141" width="13.28515625" style="763" customWidth="1"/>
    <col min="16142" max="16384" width="9.140625" style="763"/>
  </cols>
  <sheetData>
    <row r="1" spans="1:24" ht="15.75">
      <c r="B1" s="1607" t="s">
        <v>75</v>
      </c>
      <c r="C1" s="1607"/>
      <c r="D1" s="1607"/>
      <c r="E1" s="1607"/>
      <c r="F1" s="1607"/>
      <c r="G1" s="1607"/>
      <c r="H1" s="1607"/>
      <c r="I1" s="1607"/>
      <c r="J1" s="1607"/>
      <c r="K1" s="1607"/>
      <c r="L1" s="1607"/>
      <c r="M1" s="1607"/>
    </row>
    <row r="2" spans="1:24" ht="15.75">
      <c r="B2" s="1608" t="s">
        <v>164</v>
      </c>
      <c r="C2" s="1608"/>
      <c r="D2" s="1608"/>
      <c r="E2" s="1608"/>
      <c r="F2" s="1608"/>
      <c r="G2" s="1608"/>
      <c r="H2" s="1608"/>
      <c r="I2" s="1608"/>
      <c r="J2" s="1608"/>
      <c r="K2" s="1608"/>
      <c r="L2" s="1608"/>
      <c r="M2" s="1608"/>
    </row>
    <row r="3" spans="1:24" ht="15.75">
      <c r="B3" s="1609" t="s">
        <v>165</v>
      </c>
      <c r="C3" s="1609"/>
      <c r="D3" s="1609"/>
      <c r="E3" s="1609"/>
      <c r="F3" s="1609"/>
      <c r="G3" s="1609"/>
      <c r="H3" s="1609"/>
      <c r="I3" s="1609"/>
      <c r="J3" s="1609"/>
      <c r="K3" s="1609"/>
      <c r="L3" s="1609"/>
      <c r="M3" s="1609"/>
    </row>
    <row r="4" spans="1:24" ht="16.5" thickBot="1">
      <c r="B4" s="764"/>
      <c r="C4" s="816"/>
      <c r="D4" s="765"/>
      <c r="E4" s="818"/>
      <c r="F4" s="819"/>
    </row>
    <row r="5" spans="1:24" ht="15.75">
      <c r="B5" s="1702" t="s">
        <v>76</v>
      </c>
      <c r="C5" s="1703"/>
      <c r="D5" s="1703"/>
      <c r="E5" s="1616" t="s">
        <v>258</v>
      </c>
      <c r="F5" s="1610"/>
      <c r="G5" s="1610"/>
      <c r="H5" s="1610"/>
      <c r="I5" s="1610"/>
      <c r="J5" s="1610"/>
      <c r="K5" s="1610"/>
      <c r="L5" s="1610"/>
      <c r="M5" s="1611"/>
    </row>
    <row r="6" spans="1:24" ht="15.75">
      <c r="B6" s="1700" t="s">
        <v>77</v>
      </c>
      <c r="C6" s="1701"/>
      <c r="D6" s="1701"/>
      <c r="E6" s="1617" t="s">
        <v>366</v>
      </c>
      <c r="F6" s="1612"/>
      <c r="G6" s="1612"/>
      <c r="H6" s="1612"/>
      <c r="I6" s="1612"/>
      <c r="J6" s="1612"/>
      <c r="K6" s="1612"/>
      <c r="L6" s="1612"/>
      <c r="M6" s="1613"/>
    </row>
    <row r="7" spans="1:24" ht="15.75">
      <c r="B7" s="1700" t="s">
        <v>78</v>
      </c>
      <c r="C7" s="1701"/>
      <c r="D7" s="1701"/>
      <c r="E7" s="1694">
        <v>43133</v>
      </c>
      <c r="F7" s="1614"/>
      <c r="G7" s="1614"/>
      <c r="H7" s="1614"/>
      <c r="I7" s="1614"/>
      <c r="J7" s="1614"/>
      <c r="K7" s="1614"/>
      <c r="L7" s="1614"/>
      <c r="M7" s="1615"/>
    </row>
    <row r="8" spans="1:24" ht="15.75">
      <c r="B8" s="1700" t="s">
        <v>183</v>
      </c>
      <c r="C8" s="1701"/>
      <c r="D8" s="1701"/>
      <c r="E8" s="1694">
        <v>43314</v>
      </c>
      <c r="F8" s="1614"/>
      <c r="G8" s="1614"/>
      <c r="H8" s="1614"/>
      <c r="I8" s="1614"/>
      <c r="J8" s="1614"/>
      <c r="K8" s="1614"/>
      <c r="L8" s="1614"/>
      <c r="M8" s="1615"/>
    </row>
    <row r="9" spans="1:24" ht="15.75">
      <c r="B9" s="1700" t="s">
        <v>184</v>
      </c>
      <c r="C9" s="1701"/>
      <c r="D9" s="1701"/>
      <c r="E9" s="1617"/>
      <c r="F9" s="1612"/>
      <c r="G9" s="1612"/>
      <c r="H9" s="1612"/>
      <c r="I9" s="1612"/>
      <c r="J9" s="1612"/>
      <c r="K9" s="1612"/>
      <c r="L9" s="1612"/>
      <c r="M9" s="1613"/>
    </row>
    <row r="10" spans="1:24" ht="15.75">
      <c r="B10" s="1700" t="s">
        <v>97</v>
      </c>
      <c r="C10" s="1701"/>
      <c r="D10" s="1701"/>
      <c r="E10" s="1617" t="s">
        <v>2722</v>
      </c>
      <c r="F10" s="1612"/>
      <c r="G10" s="1612"/>
      <c r="H10" s="1612"/>
      <c r="I10" s="1612"/>
      <c r="J10" s="1612"/>
      <c r="K10" s="1612"/>
      <c r="L10" s="1612"/>
      <c r="M10" s="1613"/>
    </row>
    <row r="11" spans="1:24" ht="15.75">
      <c r="B11" s="1700" t="s">
        <v>98</v>
      </c>
      <c r="C11" s="1701"/>
      <c r="D11" s="1701"/>
      <c r="E11" s="1617" t="s">
        <v>2721</v>
      </c>
      <c r="F11" s="1612"/>
      <c r="G11" s="1612"/>
      <c r="H11" s="1612"/>
      <c r="I11" s="1612"/>
      <c r="J11" s="1612"/>
      <c r="K11" s="1612"/>
      <c r="L11" s="1612"/>
      <c r="M11" s="1613"/>
    </row>
    <row r="12" spans="1:24" ht="16.5" thickBot="1">
      <c r="B12" s="1696" t="s">
        <v>79</v>
      </c>
      <c r="C12" s="1697"/>
      <c r="D12" s="1697"/>
      <c r="E12" s="1698">
        <f>+E7</f>
        <v>43133</v>
      </c>
      <c r="F12" s="1624"/>
      <c r="G12" s="1624"/>
      <c r="H12" s="1624"/>
      <c r="I12" s="1624"/>
      <c r="J12" s="1624"/>
      <c r="K12" s="1624"/>
      <c r="L12" s="1624"/>
      <c r="M12" s="1699"/>
    </row>
    <row r="13" spans="1:24" ht="18.75" thickBot="1">
      <c r="B13" s="1695" t="s">
        <v>2550</v>
      </c>
      <c r="C13" s="1695"/>
      <c r="D13" s="812"/>
    </row>
    <row r="14" spans="1:24" s="822" customFormat="1" ht="43.5" thickBot="1">
      <c r="A14" s="823"/>
      <c r="B14" s="824" t="s">
        <v>68</v>
      </c>
      <c r="C14" s="829" t="s">
        <v>2748</v>
      </c>
      <c r="D14" s="824" t="s">
        <v>191</v>
      </c>
      <c r="E14" s="829" t="s">
        <v>371</v>
      </c>
      <c r="F14" s="829" t="s">
        <v>2724</v>
      </c>
      <c r="G14" s="850" t="s">
        <v>2650</v>
      </c>
      <c r="H14" s="850" t="s">
        <v>2637</v>
      </c>
      <c r="I14" s="852" t="s">
        <v>2725</v>
      </c>
      <c r="J14" s="852" t="s">
        <v>2726</v>
      </c>
      <c r="K14" s="852" t="s">
        <v>1659</v>
      </c>
      <c r="L14" s="852" t="s">
        <v>2727</v>
      </c>
      <c r="M14" s="852" t="s">
        <v>2728</v>
      </c>
      <c r="N14" s="821" t="s">
        <v>227</v>
      </c>
      <c r="O14" s="821"/>
      <c r="P14" s="821"/>
      <c r="Q14" s="821"/>
      <c r="R14" s="821"/>
      <c r="S14" s="821"/>
      <c r="T14" s="821"/>
      <c r="U14" s="821"/>
      <c r="V14" s="821"/>
      <c r="W14" s="821"/>
      <c r="X14" s="821"/>
    </row>
    <row r="15" spans="1:24" ht="57">
      <c r="B15" s="825">
        <v>1</v>
      </c>
      <c r="C15" s="830" t="s">
        <v>372</v>
      </c>
      <c r="D15" s="837"/>
      <c r="E15" s="837"/>
      <c r="F15" s="847" t="s">
        <v>2729</v>
      </c>
      <c r="G15" s="851" t="s">
        <v>2750</v>
      </c>
      <c r="H15" s="847" t="s">
        <v>2730</v>
      </c>
      <c r="I15" s="847" t="s">
        <v>2731</v>
      </c>
      <c r="J15" s="853" t="s">
        <v>2750</v>
      </c>
      <c r="K15" s="847" t="s">
        <v>2732</v>
      </c>
      <c r="L15" s="854" t="s">
        <v>2733</v>
      </c>
      <c r="M15" s="851" t="s">
        <v>2750</v>
      </c>
    </row>
    <row r="16" spans="1:24" ht="57">
      <c r="B16" s="826">
        <v>2</v>
      </c>
      <c r="C16" s="831" t="s">
        <v>2410</v>
      </c>
      <c r="D16" s="838" t="s">
        <v>1579</v>
      </c>
      <c r="E16" s="827" t="s">
        <v>210</v>
      </c>
      <c r="F16" s="848" t="s">
        <v>2729</v>
      </c>
      <c r="G16" s="848" t="s">
        <v>2734</v>
      </c>
      <c r="H16" s="848" t="s">
        <v>2730</v>
      </c>
      <c r="I16" s="845" t="s">
        <v>2750</v>
      </c>
      <c r="J16" s="848" t="s">
        <v>2735</v>
      </c>
      <c r="K16" s="845" t="s">
        <v>2750</v>
      </c>
      <c r="L16" s="845" t="s">
        <v>2750</v>
      </c>
      <c r="M16" s="841" t="s">
        <v>2738</v>
      </c>
    </row>
    <row r="17" spans="2:13" ht="57">
      <c r="B17" s="826">
        <v>3</v>
      </c>
      <c r="C17" s="831" t="s">
        <v>2411</v>
      </c>
      <c r="D17" s="839" t="s">
        <v>2740</v>
      </c>
      <c r="E17" s="827" t="s">
        <v>210</v>
      </c>
      <c r="F17" s="848" t="s">
        <v>2729</v>
      </c>
      <c r="G17" s="848" t="s">
        <v>2734</v>
      </c>
      <c r="H17" s="848" t="s">
        <v>2730</v>
      </c>
      <c r="I17" s="845" t="s">
        <v>2750</v>
      </c>
      <c r="J17" s="848" t="s">
        <v>2735</v>
      </c>
      <c r="K17" s="845" t="s">
        <v>2750</v>
      </c>
      <c r="L17" s="845" t="s">
        <v>2750</v>
      </c>
      <c r="M17" s="841" t="s">
        <v>2738</v>
      </c>
    </row>
    <row r="18" spans="2:13" ht="99.75">
      <c r="B18" s="826">
        <v>4</v>
      </c>
      <c r="C18" s="831" t="s">
        <v>2412</v>
      </c>
      <c r="D18" s="838" t="s">
        <v>2741</v>
      </c>
      <c r="E18" s="827" t="s">
        <v>210</v>
      </c>
      <c r="F18" s="848" t="s">
        <v>2729</v>
      </c>
      <c r="G18" s="848" t="s">
        <v>2734</v>
      </c>
      <c r="H18" s="848" t="s">
        <v>2730</v>
      </c>
      <c r="I18" s="845" t="s">
        <v>2750</v>
      </c>
      <c r="J18" s="848" t="s">
        <v>2735</v>
      </c>
      <c r="K18" s="845" t="s">
        <v>2750</v>
      </c>
      <c r="L18" s="845" t="s">
        <v>2750</v>
      </c>
      <c r="M18" s="841" t="s">
        <v>2738</v>
      </c>
    </row>
    <row r="19" spans="2:13" ht="57">
      <c r="B19" s="826">
        <v>5</v>
      </c>
      <c r="C19" s="831" t="s">
        <v>2413</v>
      </c>
      <c r="D19" s="838" t="s">
        <v>2742</v>
      </c>
      <c r="E19" s="827" t="s">
        <v>210</v>
      </c>
      <c r="F19" s="848" t="s">
        <v>2729</v>
      </c>
      <c r="G19" s="848" t="s">
        <v>2734</v>
      </c>
      <c r="H19" s="848" t="s">
        <v>2730</v>
      </c>
      <c r="I19" s="848" t="s">
        <v>2731</v>
      </c>
      <c r="J19" s="848" t="s">
        <v>2735</v>
      </c>
      <c r="K19" s="845" t="s">
        <v>2750</v>
      </c>
      <c r="L19" s="845" t="s">
        <v>2750</v>
      </c>
      <c r="M19" s="841" t="s">
        <v>2738</v>
      </c>
    </row>
    <row r="20" spans="2:13" ht="86.25" thickBot="1">
      <c r="B20" s="828">
        <v>6</v>
      </c>
      <c r="C20" s="859" t="s">
        <v>2414</v>
      </c>
      <c r="D20" s="842" t="s">
        <v>2743</v>
      </c>
      <c r="E20" s="828" t="s">
        <v>210</v>
      </c>
      <c r="F20" s="846" t="s">
        <v>2729</v>
      </c>
      <c r="G20" s="846" t="s">
        <v>2734</v>
      </c>
      <c r="H20" s="846" t="s">
        <v>2730</v>
      </c>
      <c r="I20" s="849" t="s">
        <v>2750</v>
      </c>
      <c r="J20" s="846" t="s">
        <v>2735</v>
      </c>
      <c r="K20" s="849" t="s">
        <v>2750</v>
      </c>
      <c r="L20" s="849" t="s">
        <v>2750</v>
      </c>
      <c r="M20" s="842" t="s">
        <v>2738</v>
      </c>
    </row>
    <row r="21" spans="2:13" ht="142.5">
      <c r="B21" s="860">
        <v>7</v>
      </c>
      <c r="C21" s="861" t="s">
        <v>2415</v>
      </c>
      <c r="D21" s="862" t="s">
        <v>2740</v>
      </c>
      <c r="E21" s="863" t="s">
        <v>210</v>
      </c>
      <c r="F21" s="864" t="s">
        <v>2729</v>
      </c>
      <c r="G21" s="864" t="s">
        <v>2734</v>
      </c>
      <c r="H21" s="864" t="s">
        <v>2730</v>
      </c>
      <c r="I21" s="865" t="s">
        <v>2750</v>
      </c>
      <c r="J21" s="864" t="s">
        <v>2735</v>
      </c>
      <c r="K21" s="865" t="s">
        <v>2750</v>
      </c>
      <c r="L21" s="865" t="s">
        <v>2750</v>
      </c>
      <c r="M21" s="866" t="s">
        <v>2738</v>
      </c>
    </row>
    <row r="22" spans="2:13" ht="42.75">
      <c r="B22" s="826">
        <v>8</v>
      </c>
      <c r="C22" s="831" t="s">
        <v>2416</v>
      </c>
      <c r="D22" s="838" t="s">
        <v>2744</v>
      </c>
      <c r="E22" s="827" t="s">
        <v>210</v>
      </c>
      <c r="F22" s="848" t="s">
        <v>2729</v>
      </c>
      <c r="G22" s="848" t="s">
        <v>2734</v>
      </c>
      <c r="H22" s="848" t="s">
        <v>2730</v>
      </c>
      <c r="I22" s="845" t="s">
        <v>2750</v>
      </c>
      <c r="J22" s="848" t="s">
        <v>2735</v>
      </c>
      <c r="K22" s="845" t="s">
        <v>2750</v>
      </c>
      <c r="L22" s="845" t="s">
        <v>2750</v>
      </c>
      <c r="M22" s="841" t="s">
        <v>2738</v>
      </c>
    </row>
    <row r="23" spans="2:13" ht="71.25">
      <c r="B23" s="826">
        <v>9</v>
      </c>
      <c r="C23" s="831" t="s">
        <v>2417</v>
      </c>
      <c r="D23" s="838" t="s">
        <v>2745</v>
      </c>
      <c r="E23" s="843"/>
      <c r="F23" s="848" t="s">
        <v>2729</v>
      </c>
      <c r="G23" s="848" t="s">
        <v>2734</v>
      </c>
      <c r="H23" s="848" t="s">
        <v>2730</v>
      </c>
      <c r="I23" s="848" t="s">
        <v>2731</v>
      </c>
      <c r="J23" s="848" t="s">
        <v>2735</v>
      </c>
      <c r="K23" s="845" t="s">
        <v>2750</v>
      </c>
      <c r="L23" s="845" t="s">
        <v>2750</v>
      </c>
      <c r="M23" s="841" t="s">
        <v>2738</v>
      </c>
    </row>
    <row r="24" spans="2:13" ht="71.25">
      <c r="B24" s="826">
        <v>10</v>
      </c>
      <c r="C24" s="831" t="s">
        <v>2418</v>
      </c>
      <c r="D24" s="838" t="s">
        <v>2740</v>
      </c>
      <c r="E24" s="827" t="s">
        <v>210</v>
      </c>
      <c r="F24" s="848" t="s">
        <v>2729</v>
      </c>
      <c r="G24" s="848" t="s">
        <v>2734</v>
      </c>
      <c r="H24" s="848" t="s">
        <v>2730</v>
      </c>
      <c r="I24" s="845" t="s">
        <v>2750</v>
      </c>
      <c r="J24" s="845" t="s">
        <v>2750</v>
      </c>
      <c r="K24" s="845" t="s">
        <v>2750</v>
      </c>
      <c r="L24" s="845" t="s">
        <v>2750</v>
      </c>
      <c r="M24" s="841" t="s">
        <v>2738</v>
      </c>
    </row>
    <row r="25" spans="2:13" ht="142.5">
      <c r="B25" s="826">
        <v>11</v>
      </c>
      <c r="C25" s="831" t="s">
        <v>2419</v>
      </c>
      <c r="D25" s="838" t="s">
        <v>2740</v>
      </c>
      <c r="E25" s="827" t="s">
        <v>210</v>
      </c>
      <c r="F25" s="848" t="s">
        <v>2729</v>
      </c>
      <c r="G25" s="848" t="s">
        <v>2734</v>
      </c>
      <c r="H25" s="848" t="s">
        <v>2730</v>
      </c>
      <c r="I25" s="845" t="s">
        <v>2750</v>
      </c>
      <c r="J25" s="845" t="s">
        <v>2750</v>
      </c>
      <c r="K25" s="845" t="s">
        <v>2750</v>
      </c>
      <c r="L25" s="845" t="s">
        <v>2750</v>
      </c>
      <c r="M25" s="841" t="s">
        <v>2738</v>
      </c>
    </row>
    <row r="26" spans="2:13" ht="85.5">
      <c r="B26" s="826">
        <v>12</v>
      </c>
      <c r="C26" s="831" t="s">
        <v>2420</v>
      </c>
      <c r="D26" s="838" t="s">
        <v>2740</v>
      </c>
      <c r="E26" s="827" t="s">
        <v>210</v>
      </c>
      <c r="F26" s="848" t="s">
        <v>2729</v>
      </c>
      <c r="G26" s="848" t="s">
        <v>2734</v>
      </c>
      <c r="H26" s="848" t="s">
        <v>2730</v>
      </c>
      <c r="I26" s="845" t="s">
        <v>2750</v>
      </c>
      <c r="J26" s="845" t="s">
        <v>2750</v>
      </c>
      <c r="K26" s="845" t="s">
        <v>2750</v>
      </c>
      <c r="L26" s="845" t="s">
        <v>2750</v>
      </c>
      <c r="M26" s="841" t="s">
        <v>2738</v>
      </c>
    </row>
    <row r="27" spans="2:13" ht="85.5">
      <c r="B27" s="826">
        <v>13</v>
      </c>
      <c r="C27" s="831" t="s">
        <v>2421</v>
      </c>
      <c r="D27" s="838" t="s">
        <v>2740</v>
      </c>
      <c r="E27" s="827" t="s">
        <v>210</v>
      </c>
      <c r="F27" s="848" t="s">
        <v>2729</v>
      </c>
      <c r="G27" s="848" t="s">
        <v>2734</v>
      </c>
      <c r="H27" s="848" t="s">
        <v>2730</v>
      </c>
      <c r="I27" s="845" t="s">
        <v>2750</v>
      </c>
      <c r="J27" s="845" t="s">
        <v>2750</v>
      </c>
      <c r="K27" s="845" t="s">
        <v>2750</v>
      </c>
      <c r="L27" s="845" t="s">
        <v>2750</v>
      </c>
      <c r="M27" s="841" t="s">
        <v>2738</v>
      </c>
    </row>
    <row r="28" spans="2:13" ht="86.25" thickBot="1">
      <c r="B28" s="828">
        <v>14</v>
      </c>
      <c r="C28" s="859" t="s">
        <v>2422</v>
      </c>
      <c r="D28" s="842" t="s">
        <v>2740</v>
      </c>
      <c r="E28" s="828" t="s">
        <v>210</v>
      </c>
      <c r="F28" s="846" t="s">
        <v>2729</v>
      </c>
      <c r="G28" s="846" t="s">
        <v>2734</v>
      </c>
      <c r="H28" s="846" t="s">
        <v>2730</v>
      </c>
      <c r="I28" s="849" t="s">
        <v>2750</v>
      </c>
      <c r="J28" s="849" t="s">
        <v>2750</v>
      </c>
      <c r="K28" s="849" t="s">
        <v>2750</v>
      </c>
      <c r="L28" s="849" t="s">
        <v>2750</v>
      </c>
      <c r="M28" s="842" t="s">
        <v>2738</v>
      </c>
    </row>
    <row r="29" spans="2:13" ht="85.5">
      <c r="B29" s="860">
        <v>15</v>
      </c>
      <c r="C29" s="861" t="s">
        <v>2423</v>
      </c>
      <c r="D29" s="862" t="s">
        <v>2740</v>
      </c>
      <c r="E29" s="863" t="s">
        <v>210</v>
      </c>
      <c r="F29" s="864" t="s">
        <v>2729</v>
      </c>
      <c r="G29" s="864" t="s">
        <v>2734</v>
      </c>
      <c r="H29" s="864" t="s">
        <v>2730</v>
      </c>
      <c r="I29" s="865" t="s">
        <v>2750</v>
      </c>
      <c r="J29" s="865" t="s">
        <v>2750</v>
      </c>
      <c r="K29" s="865" t="s">
        <v>2750</v>
      </c>
      <c r="L29" s="865" t="s">
        <v>2750</v>
      </c>
      <c r="M29" s="866" t="s">
        <v>2738</v>
      </c>
    </row>
    <row r="30" spans="2:13" ht="99.75">
      <c r="B30" s="826">
        <v>16</v>
      </c>
      <c r="C30" s="831" t="s">
        <v>2424</v>
      </c>
      <c r="D30" s="838" t="s">
        <v>2740</v>
      </c>
      <c r="E30" s="827" t="s">
        <v>210</v>
      </c>
      <c r="F30" s="848" t="s">
        <v>2729</v>
      </c>
      <c r="G30" s="848" t="s">
        <v>2734</v>
      </c>
      <c r="H30" s="848" t="s">
        <v>2730</v>
      </c>
      <c r="I30" s="845" t="s">
        <v>2750</v>
      </c>
      <c r="J30" s="845" t="s">
        <v>2750</v>
      </c>
      <c r="K30" s="845" t="s">
        <v>2750</v>
      </c>
      <c r="L30" s="845" t="s">
        <v>2750</v>
      </c>
      <c r="M30" s="841" t="s">
        <v>2738</v>
      </c>
    </row>
    <row r="31" spans="2:13" ht="99.75">
      <c r="B31" s="826">
        <v>17</v>
      </c>
      <c r="C31" s="832" t="s">
        <v>2425</v>
      </c>
      <c r="D31" s="838" t="s">
        <v>2740</v>
      </c>
      <c r="E31" s="827" t="s">
        <v>210</v>
      </c>
      <c r="F31" s="848" t="s">
        <v>2729</v>
      </c>
      <c r="G31" s="848" t="s">
        <v>2734</v>
      </c>
      <c r="H31" s="848" t="s">
        <v>2730</v>
      </c>
      <c r="I31" s="845" t="s">
        <v>2750</v>
      </c>
      <c r="J31" s="845" t="s">
        <v>2750</v>
      </c>
      <c r="K31" s="845" t="s">
        <v>2750</v>
      </c>
      <c r="L31" s="845" t="s">
        <v>2750</v>
      </c>
      <c r="M31" s="841" t="s">
        <v>2738</v>
      </c>
    </row>
    <row r="32" spans="2:13" ht="85.5">
      <c r="B32" s="827">
        <v>18</v>
      </c>
      <c r="C32" s="833" t="s">
        <v>2426</v>
      </c>
      <c r="D32" s="840" t="s">
        <v>2746</v>
      </c>
      <c r="E32" s="839"/>
      <c r="F32" s="840"/>
      <c r="G32" s="840"/>
      <c r="H32" s="840"/>
      <c r="I32" s="845" t="s">
        <v>2750</v>
      </c>
      <c r="J32" s="845" t="s">
        <v>2750</v>
      </c>
      <c r="K32" s="845" t="s">
        <v>2750</v>
      </c>
      <c r="L32" s="845" t="s">
        <v>2750</v>
      </c>
      <c r="M32" s="845" t="s">
        <v>2750</v>
      </c>
    </row>
    <row r="33" spans="2:13" ht="114">
      <c r="B33" s="826">
        <v>19</v>
      </c>
      <c r="C33" s="831" t="s">
        <v>2427</v>
      </c>
      <c r="D33" s="840" t="s">
        <v>2746</v>
      </c>
      <c r="E33" s="827" t="s">
        <v>210</v>
      </c>
      <c r="F33" s="848" t="s">
        <v>2729</v>
      </c>
      <c r="G33" s="848" t="s">
        <v>2734</v>
      </c>
      <c r="H33" s="848" t="s">
        <v>2730</v>
      </c>
      <c r="I33" s="845" t="s">
        <v>2750</v>
      </c>
      <c r="J33" s="845" t="s">
        <v>2750</v>
      </c>
      <c r="K33" s="845" t="s">
        <v>2750</v>
      </c>
      <c r="L33" s="845" t="s">
        <v>2750</v>
      </c>
      <c r="M33" s="841" t="s">
        <v>2738</v>
      </c>
    </row>
    <row r="34" spans="2:13" ht="71.25">
      <c r="B34" s="826">
        <v>20</v>
      </c>
      <c r="C34" s="831" t="s">
        <v>2428</v>
      </c>
      <c r="D34" s="840" t="s">
        <v>1370</v>
      </c>
      <c r="E34" s="827" t="s">
        <v>210</v>
      </c>
      <c r="F34" s="848" t="s">
        <v>2729</v>
      </c>
      <c r="G34" s="848" t="s">
        <v>2734</v>
      </c>
      <c r="H34" s="848" t="s">
        <v>2730</v>
      </c>
      <c r="I34" s="848" t="s">
        <v>2731</v>
      </c>
      <c r="J34" s="845" t="s">
        <v>2750</v>
      </c>
      <c r="K34" s="845" t="s">
        <v>2750</v>
      </c>
      <c r="L34" s="845" t="s">
        <v>2750</v>
      </c>
      <c r="M34" s="841" t="s">
        <v>2738</v>
      </c>
    </row>
    <row r="35" spans="2:13" ht="71.25">
      <c r="B35" s="826">
        <v>21</v>
      </c>
      <c r="C35" s="831" t="s">
        <v>2429</v>
      </c>
      <c r="D35" s="838" t="s">
        <v>1579</v>
      </c>
      <c r="E35" s="841" t="s">
        <v>383</v>
      </c>
      <c r="F35" s="848" t="s">
        <v>2729</v>
      </c>
      <c r="G35" s="848" t="s">
        <v>2734</v>
      </c>
      <c r="H35" s="848" t="s">
        <v>2730</v>
      </c>
      <c r="I35" s="848" t="s">
        <v>2731</v>
      </c>
      <c r="J35" s="845" t="s">
        <v>2750</v>
      </c>
      <c r="K35" s="845" t="s">
        <v>2750</v>
      </c>
      <c r="L35" s="841" t="s">
        <v>2733</v>
      </c>
      <c r="M35" s="845" t="s">
        <v>2750</v>
      </c>
    </row>
    <row r="36" spans="2:13" ht="72" thickBot="1">
      <c r="B36" s="828">
        <v>22</v>
      </c>
      <c r="C36" s="859" t="s">
        <v>2430</v>
      </c>
      <c r="D36" s="842" t="s">
        <v>1579</v>
      </c>
      <c r="E36" s="842" t="s">
        <v>385</v>
      </c>
      <c r="F36" s="846" t="s">
        <v>2729</v>
      </c>
      <c r="G36" s="846" t="s">
        <v>2734</v>
      </c>
      <c r="H36" s="846" t="s">
        <v>2730</v>
      </c>
      <c r="I36" s="846" t="s">
        <v>2731</v>
      </c>
      <c r="J36" s="849" t="s">
        <v>2750</v>
      </c>
      <c r="K36" s="849" t="s">
        <v>2750</v>
      </c>
      <c r="L36" s="842" t="s">
        <v>2733</v>
      </c>
      <c r="M36" s="849" t="s">
        <v>2750</v>
      </c>
    </row>
    <row r="37" spans="2:13" ht="71.25">
      <c r="B37" s="863">
        <v>23</v>
      </c>
      <c r="C37" s="867" t="s">
        <v>2431</v>
      </c>
      <c r="D37" s="862" t="s">
        <v>1579</v>
      </c>
      <c r="E37" s="868" t="s">
        <v>109</v>
      </c>
      <c r="F37" s="869" t="s">
        <v>2729</v>
      </c>
      <c r="G37" s="869" t="s">
        <v>2734</v>
      </c>
      <c r="H37" s="869" t="s">
        <v>2730</v>
      </c>
      <c r="I37" s="869" t="s">
        <v>2731</v>
      </c>
      <c r="J37" s="865" t="s">
        <v>2750</v>
      </c>
      <c r="K37" s="865" t="s">
        <v>2750</v>
      </c>
      <c r="L37" s="862" t="s">
        <v>2733</v>
      </c>
      <c r="M37" s="865" t="s">
        <v>2750</v>
      </c>
    </row>
    <row r="38" spans="2:13" ht="71.25">
      <c r="B38" s="827">
        <v>24</v>
      </c>
      <c r="C38" s="833" t="s">
        <v>2432</v>
      </c>
      <c r="D38" s="838" t="s">
        <v>1579</v>
      </c>
      <c r="E38" s="838" t="s">
        <v>385</v>
      </c>
      <c r="F38" s="840" t="s">
        <v>2729</v>
      </c>
      <c r="G38" s="840" t="s">
        <v>2734</v>
      </c>
      <c r="H38" s="840" t="s">
        <v>2730</v>
      </c>
      <c r="I38" s="840" t="s">
        <v>2731</v>
      </c>
      <c r="J38" s="845" t="s">
        <v>2750</v>
      </c>
      <c r="K38" s="845" t="s">
        <v>2750</v>
      </c>
      <c r="L38" s="838" t="s">
        <v>2733</v>
      </c>
      <c r="M38" s="845" t="s">
        <v>2750</v>
      </c>
    </row>
    <row r="39" spans="2:13" ht="128.25">
      <c r="B39" s="855">
        <v>25</v>
      </c>
      <c r="C39" s="856" t="s">
        <v>2433</v>
      </c>
      <c r="D39" s="858" t="s">
        <v>2740</v>
      </c>
      <c r="E39" s="858" t="s">
        <v>386</v>
      </c>
      <c r="F39" s="857" t="s">
        <v>2729</v>
      </c>
      <c r="G39" s="857" t="s">
        <v>2734</v>
      </c>
      <c r="H39" s="857" t="s">
        <v>2730</v>
      </c>
      <c r="I39" s="857" t="s">
        <v>2731</v>
      </c>
      <c r="J39" s="851" t="s">
        <v>2750</v>
      </c>
      <c r="K39" s="851" t="s">
        <v>2750</v>
      </c>
      <c r="L39" s="858" t="s">
        <v>2733</v>
      </c>
      <c r="M39" s="851" t="s">
        <v>2750</v>
      </c>
    </row>
    <row r="40" spans="2:13" ht="199.5">
      <c r="B40" s="826">
        <v>26</v>
      </c>
      <c r="C40" s="834" t="s">
        <v>2739</v>
      </c>
      <c r="D40" s="841" t="s">
        <v>2740</v>
      </c>
      <c r="E40" s="844" t="s">
        <v>109</v>
      </c>
      <c r="F40" s="848" t="s">
        <v>2729</v>
      </c>
      <c r="G40" s="848" t="s">
        <v>2734</v>
      </c>
      <c r="H40" s="848" t="s">
        <v>2730</v>
      </c>
      <c r="I40" s="848" t="s">
        <v>2731</v>
      </c>
      <c r="J40" s="845" t="s">
        <v>2750</v>
      </c>
      <c r="K40" s="845" t="s">
        <v>2750</v>
      </c>
      <c r="L40" s="841" t="s">
        <v>2733</v>
      </c>
      <c r="M40" s="845" t="s">
        <v>2750</v>
      </c>
    </row>
    <row r="41" spans="2:13" ht="71.25">
      <c r="B41" s="826">
        <v>27</v>
      </c>
      <c r="C41" s="831" t="s">
        <v>2435</v>
      </c>
      <c r="D41" s="838" t="s">
        <v>1357</v>
      </c>
      <c r="E41" s="841" t="s">
        <v>388</v>
      </c>
      <c r="F41" s="848" t="s">
        <v>2729</v>
      </c>
      <c r="G41" s="848" t="s">
        <v>2734</v>
      </c>
      <c r="H41" s="848" t="s">
        <v>2730</v>
      </c>
      <c r="I41" s="848" t="s">
        <v>2731</v>
      </c>
      <c r="J41" s="845" t="s">
        <v>2750</v>
      </c>
      <c r="K41" s="845" t="s">
        <v>2750</v>
      </c>
      <c r="L41" s="841" t="s">
        <v>2733</v>
      </c>
      <c r="M41" s="845" t="s">
        <v>2750</v>
      </c>
    </row>
    <row r="42" spans="2:13" ht="114">
      <c r="B42" s="826">
        <v>28</v>
      </c>
      <c r="C42" s="832" t="s">
        <v>2436</v>
      </c>
      <c r="D42" s="838" t="s">
        <v>2747</v>
      </c>
      <c r="E42" s="841" t="s">
        <v>390</v>
      </c>
      <c r="F42" s="848" t="s">
        <v>2729</v>
      </c>
      <c r="G42" s="848" t="s">
        <v>2734</v>
      </c>
      <c r="H42" s="848" t="s">
        <v>2730</v>
      </c>
      <c r="I42" s="845" t="s">
        <v>2750</v>
      </c>
      <c r="J42" s="845" t="s">
        <v>2750</v>
      </c>
      <c r="K42" s="845" t="s">
        <v>2750</v>
      </c>
      <c r="L42" s="841" t="s">
        <v>2733</v>
      </c>
      <c r="M42" s="845" t="s">
        <v>2750</v>
      </c>
    </row>
    <row r="43" spans="2:13" ht="86.25" thickBot="1">
      <c r="B43" s="828">
        <v>29</v>
      </c>
      <c r="C43" s="859" t="s">
        <v>2437</v>
      </c>
      <c r="D43" s="842" t="s">
        <v>2747</v>
      </c>
      <c r="E43" s="846" t="s">
        <v>390</v>
      </c>
      <c r="F43" s="846" t="s">
        <v>2736</v>
      </c>
      <c r="G43" s="846" t="s">
        <v>2734</v>
      </c>
      <c r="H43" s="846" t="s">
        <v>2730</v>
      </c>
      <c r="I43" s="846" t="s">
        <v>2731</v>
      </c>
      <c r="J43" s="849" t="s">
        <v>2750</v>
      </c>
      <c r="K43" s="849" t="s">
        <v>2750</v>
      </c>
      <c r="L43" s="842" t="s">
        <v>2733</v>
      </c>
      <c r="M43" s="849" t="s">
        <v>2750</v>
      </c>
    </row>
    <row r="44" spans="2:13" ht="85.5">
      <c r="B44" s="863">
        <v>30</v>
      </c>
      <c r="C44" s="867" t="s">
        <v>2438</v>
      </c>
      <c r="D44" s="862" t="s">
        <v>2747</v>
      </c>
      <c r="E44" s="863" t="s">
        <v>109</v>
      </c>
      <c r="F44" s="869" t="s">
        <v>2736</v>
      </c>
      <c r="G44" s="869" t="s">
        <v>2734</v>
      </c>
      <c r="H44" s="869" t="s">
        <v>2730</v>
      </c>
      <c r="I44" s="869" t="s">
        <v>2731</v>
      </c>
      <c r="J44" s="865" t="s">
        <v>2750</v>
      </c>
      <c r="K44" s="865" t="s">
        <v>2750</v>
      </c>
      <c r="L44" s="862" t="s">
        <v>2733</v>
      </c>
      <c r="M44" s="865" t="s">
        <v>2750</v>
      </c>
    </row>
    <row r="45" spans="2:13" ht="85.5">
      <c r="B45" s="827">
        <v>31</v>
      </c>
      <c r="C45" s="833" t="s">
        <v>2439</v>
      </c>
      <c r="D45" s="838" t="s">
        <v>2747</v>
      </c>
      <c r="E45" s="840" t="s">
        <v>391</v>
      </c>
      <c r="F45" s="840" t="s">
        <v>2736</v>
      </c>
      <c r="G45" s="840" t="s">
        <v>2734</v>
      </c>
      <c r="H45" s="840" t="s">
        <v>2730</v>
      </c>
      <c r="I45" s="840" t="s">
        <v>2731</v>
      </c>
      <c r="J45" s="845" t="s">
        <v>2750</v>
      </c>
      <c r="K45" s="845" t="s">
        <v>2750</v>
      </c>
      <c r="L45" s="838" t="s">
        <v>2733</v>
      </c>
      <c r="M45" s="845" t="s">
        <v>2750</v>
      </c>
    </row>
    <row r="46" spans="2:13" ht="57">
      <c r="B46" s="827">
        <v>32</v>
      </c>
      <c r="C46" s="833" t="s">
        <v>2440</v>
      </c>
      <c r="D46" s="838" t="s">
        <v>1357</v>
      </c>
      <c r="E46" s="838" t="s">
        <v>392</v>
      </c>
      <c r="F46" s="840" t="s">
        <v>2736</v>
      </c>
      <c r="G46" s="840" t="s">
        <v>2734</v>
      </c>
      <c r="H46" s="840" t="s">
        <v>2730</v>
      </c>
      <c r="I46" s="840" t="s">
        <v>2731</v>
      </c>
      <c r="J46" s="845" t="s">
        <v>2750</v>
      </c>
      <c r="K46" s="845" t="s">
        <v>2750</v>
      </c>
      <c r="L46" s="838" t="s">
        <v>2733</v>
      </c>
      <c r="M46" s="845" t="s">
        <v>2750</v>
      </c>
    </row>
    <row r="47" spans="2:13" ht="85.5">
      <c r="B47" s="827">
        <v>33</v>
      </c>
      <c r="C47" s="833" t="s">
        <v>2441</v>
      </c>
      <c r="D47" s="838" t="s">
        <v>2741</v>
      </c>
      <c r="E47" s="840" t="s">
        <v>393</v>
      </c>
      <c r="F47" s="840" t="s">
        <v>2736</v>
      </c>
      <c r="G47" s="840" t="s">
        <v>2734</v>
      </c>
      <c r="H47" s="840" t="s">
        <v>2730</v>
      </c>
      <c r="I47" s="840" t="s">
        <v>2731</v>
      </c>
      <c r="J47" s="845" t="s">
        <v>2750</v>
      </c>
      <c r="K47" s="845" t="s">
        <v>2750</v>
      </c>
      <c r="L47" s="838" t="s">
        <v>2733</v>
      </c>
      <c r="M47" s="845" t="s">
        <v>2750</v>
      </c>
    </row>
    <row r="48" spans="2:13" ht="57">
      <c r="B48" s="827">
        <v>34</v>
      </c>
      <c r="C48" s="833" t="s">
        <v>2442</v>
      </c>
      <c r="D48" s="838" t="s">
        <v>1357</v>
      </c>
      <c r="E48" s="840" t="s">
        <v>394</v>
      </c>
      <c r="F48" s="840" t="s">
        <v>2736</v>
      </c>
      <c r="G48" s="840" t="s">
        <v>2734</v>
      </c>
      <c r="H48" s="840" t="s">
        <v>2730</v>
      </c>
      <c r="I48" s="840" t="s">
        <v>2731</v>
      </c>
      <c r="J48" s="845" t="s">
        <v>2750</v>
      </c>
      <c r="K48" s="845" t="s">
        <v>2750</v>
      </c>
      <c r="L48" s="838" t="s">
        <v>2733</v>
      </c>
      <c r="M48" s="845" t="s">
        <v>2750</v>
      </c>
    </row>
    <row r="49" spans="2:13" ht="42.75">
      <c r="B49" s="827">
        <v>35</v>
      </c>
      <c r="C49" s="835" t="s">
        <v>395</v>
      </c>
      <c r="D49" s="838" t="s">
        <v>1579</v>
      </c>
      <c r="E49" s="827" t="s">
        <v>210</v>
      </c>
      <c r="F49" s="845" t="s">
        <v>2750</v>
      </c>
      <c r="G49" s="845" t="s">
        <v>2750</v>
      </c>
      <c r="H49" s="840" t="s">
        <v>2730</v>
      </c>
      <c r="I49" s="845" t="s">
        <v>2750</v>
      </c>
      <c r="J49" s="845" t="s">
        <v>2750</v>
      </c>
      <c r="K49" s="845" t="s">
        <v>2750</v>
      </c>
      <c r="L49" s="845" t="s">
        <v>2750</v>
      </c>
      <c r="M49" s="838" t="s">
        <v>2737</v>
      </c>
    </row>
    <row r="50" spans="2:13" ht="28.5">
      <c r="B50" s="827">
        <v>36</v>
      </c>
      <c r="C50" s="835" t="s">
        <v>396</v>
      </c>
      <c r="D50" s="839"/>
      <c r="E50" s="845" t="s">
        <v>2750</v>
      </c>
      <c r="F50" s="845" t="s">
        <v>2750</v>
      </c>
      <c r="G50" s="840" t="s">
        <v>2734</v>
      </c>
      <c r="H50" s="840" t="s">
        <v>2730</v>
      </c>
      <c r="I50" s="845" t="s">
        <v>2750</v>
      </c>
      <c r="J50" s="845" t="s">
        <v>2750</v>
      </c>
      <c r="K50" s="845" t="s">
        <v>2750</v>
      </c>
      <c r="L50" s="845" t="s">
        <v>2750</v>
      </c>
      <c r="M50" s="838"/>
    </row>
    <row r="51" spans="2:13" ht="42.75">
      <c r="B51" s="827">
        <v>37</v>
      </c>
      <c r="C51" s="835" t="s">
        <v>397</v>
      </c>
      <c r="D51" s="839"/>
      <c r="E51" s="827" t="s">
        <v>210</v>
      </c>
      <c r="F51" s="845" t="s">
        <v>2750</v>
      </c>
      <c r="G51" s="845" t="s">
        <v>2750</v>
      </c>
      <c r="H51" s="840" t="s">
        <v>2730</v>
      </c>
      <c r="I51" s="845" t="s">
        <v>2750</v>
      </c>
      <c r="J51" s="845" t="s">
        <v>2750</v>
      </c>
      <c r="K51" s="845" t="s">
        <v>2750</v>
      </c>
      <c r="L51" s="845" t="s">
        <v>2750</v>
      </c>
      <c r="M51" s="838" t="s">
        <v>2737</v>
      </c>
    </row>
    <row r="52" spans="2:13" ht="43.5" thickBot="1">
      <c r="B52" s="828">
        <v>38</v>
      </c>
      <c r="C52" s="836" t="s">
        <v>398</v>
      </c>
      <c r="D52" s="842"/>
      <c r="E52" s="846" t="s">
        <v>394</v>
      </c>
      <c r="F52" s="849" t="s">
        <v>2750</v>
      </c>
      <c r="G52" s="849" t="s">
        <v>2750</v>
      </c>
      <c r="H52" s="849" t="s">
        <v>2750</v>
      </c>
      <c r="I52" s="846" t="s">
        <v>2731</v>
      </c>
      <c r="J52" s="849" t="s">
        <v>2750</v>
      </c>
      <c r="K52" s="849" t="s">
        <v>2750</v>
      </c>
      <c r="L52" s="842" t="s">
        <v>2733</v>
      </c>
      <c r="M52" s="849" t="s">
        <v>2750</v>
      </c>
    </row>
    <row r="53" spans="2:13">
      <c r="I53" s="820"/>
    </row>
    <row r="54" spans="2:13">
      <c r="I54" s="820"/>
    </row>
    <row r="55" spans="2:13">
      <c r="I55" s="820"/>
    </row>
    <row r="56" spans="2:13">
      <c r="I56" s="820"/>
    </row>
  </sheetData>
  <mergeCells count="20">
    <mergeCell ref="B13:C13"/>
    <mergeCell ref="B12:D12"/>
    <mergeCell ref="E12:M12"/>
    <mergeCell ref="B1:M1"/>
    <mergeCell ref="B2:M2"/>
    <mergeCell ref="B3:M3"/>
    <mergeCell ref="B10:D10"/>
    <mergeCell ref="B11:D11"/>
    <mergeCell ref="E10:M10"/>
    <mergeCell ref="E11:M11"/>
    <mergeCell ref="B6:D6"/>
    <mergeCell ref="B7:D7"/>
    <mergeCell ref="B8:D8"/>
    <mergeCell ref="B5:D5"/>
    <mergeCell ref="B9:D9"/>
    <mergeCell ref="E5:M5"/>
    <mergeCell ref="E6:M6"/>
    <mergeCell ref="E7:M7"/>
    <mergeCell ref="E8:M8"/>
    <mergeCell ref="E9:M9"/>
  </mergeCells>
  <pageMargins left="0.7" right="0.67" top="0.75" bottom="0.75" header="0.3" footer="0.3"/>
  <pageSetup paperSize="5" scale="70" orientation="landscape" r:id="rId1"/>
  <colBreaks count="1" manualBreakCount="1">
    <brk id="13" max="1048575" man="1"/>
  </colBreaks>
</worksheet>
</file>

<file path=xl/worksheets/sheet41.xml><?xml version="1.0" encoding="utf-8"?>
<worksheet xmlns="http://schemas.openxmlformats.org/spreadsheetml/2006/main" xmlns:r="http://schemas.openxmlformats.org/officeDocument/2006/relationships">
  <dimension ref="A1:B153"/>
  <sheetViews>
    <sheetView zoomScale="75" zoomScaleNormal="75" workbookViewId="0">
      <selection activeCell="H13" sqref="H13"/>
    </sheetView>
  </sheetViews>
  <sheetFormatPr defaultColWidth="9.140625" defaultRowHeight="15.75"/>
  <cols>
    <col min="1" max="1" width="5.28515625" style="762" customWidth="1"/>
    <col min="2" max="2" width="111.42578125" style="762" customWidth="1"/>
    <col min="3" max="16384" width="9.140625" style="762"/>
  </cols>
  <sheetData>
    <row r="1" spans="1:2" ht="16.5" thickBot="1"/>
    <row r="2" spans="1:2" ht="16.5" thickBot="1">
      <c r="A2" s="1651" t="s">
        <v>2637</v>
      </c>
      <c r="B2" s="1663"/>
    </row>
    <row r="3" spans="1:2">
      <c r="A3" s="1707" t="s">
        <v>2548</v>
      </c>
      <c r="B3" s="1708"/>
    </row>
    <row r="4" spans="1:2">
      <c r="A4" s="774">
        <v>1</v>
      </c>
      <c r="B4" s="774" t="s">
        <v>2638</v>
      </c>
    </row>
    <row r="5" spans="1:2">
      <c r="A5" s="774">
        <v>2</v>
      </c>
      <c r="B5" s="774" t="s">
        <v>2639</v>
      </c>
    </row>
    <row r="6" spans="1:2">
      <c r="A6" s="1709" t="s">
        <v>2550</v>
      </c>
      <c r="B6" s="1709"/>
    </row>
    <row r="7" spans="1:2">
      <c r="A7" s="774">
        <v>1</v>
      </c>
      <c r="B7" s="802" t="s">
        <v>2640</v>
      </c>
    </row>
    <row r="8" spans="1:2">
      <c r="A8" s="774">
        <v>2</v>
      </c>
      <c r="B8" s="802" t="s">
        <v>372</v>
      </c>
    </row>
    <row r="9" spans="1:2">
      <c r="A9" s="1704">
        <v>3</v>
      </c>
      <c r="B9" s="1710" t="s">
        <v>2604</v>
      </c>
    </row>
    <row r="10" spans="1:2">
      <c r="A10" s="1704"/>
      <c r="B10" s="1710"/>
    </row>
    <row r="11" spans="1:2">
      <c r="A11" s="1704">
        <v>4</v>
      </c>
      <c r="B11" s="1711" t="s">
        <v>2553</v>
      </c>
    </row>
    <row r="12" spans="1:2">
      <c r="A12" s="1704"/>
      <c r="B12" s="1711"/>
    </row>
    <row r="13" spans="1:2">
      <c r="A13" s="1704"/>
      <c r="B13" s="1711"/>
    </row>
    <row r="14" spans="1:2">
      <c r="A14" s="1704"/>
      <c r="B14" s="1711"/>
    </row>
    <row r="15" spans="1:2">
      <c r="A15" s="1704">
        <v>5</v>
      </c>
      <c r="B15" s="1711" t="s">
        <v>2605</v>
      </c>
    </row>
    <row r="16" spans="1:2">
      <c r="A16" s="1704"/>
      <c r="B16" s="1711"/>
    </row>
    <row r="17" spans="1:2">
      <c r="A17" s="1704"/>
      <c r="B17" s="1711" t="s">
        <v>2606</v>
      </c>
    </row>
    <row r="18" spans="1:2">
      <c r="A18" s="1704"/>
      <c r="B18" s="1711"/>
    </row>
    <row r="19" spans="1:2">
      <c r="A19" s="1704"/>
      <c r="B19" s="1711"/>
    </row>
    <row r="20" spans="1:2">
      <c r="A20" s="1704">
        <v>6</v>
      </c>
      <c r="B20" s="1711" t="s">
        <v>2613</v>
      </c>
    </row>
    <row r="21" spans="1:2">
      <c r="A21" s="1704"/>
      <c r="B21" s="1711"/>
    </row>
    <row r="22" spans="1:2">
      <c r="A22" s="1704"/>
      <c r="B22" s="1711"/>
    </row>
    <row r="23" spans="1:2">
      <c r="A23" s="1704"/>
      <c r="B23" s="1711"/>
    </row>
    <row r="24" spans="1:2">
      <c r="A24" s="1704"/>
      <c r="B24" s="1711"/>
    </row>
    <row r="25" spans="1:2" ht="15" customHeight="1">
      <c r="A25" s="1704">
        <v>7</v>
      </c>
      <c r="B25" s="1705" t="s">
        <v>2557</v>
      </c>
    </row>
    <row r="26" spans="1:2">
      <c r="A26" s="1704"/>
      <c r="B26" s="1706"/>
    </row>
    <row r="27" spans="1:2">
      <c r="A27" s="1704">
        <v>8</v>
      </c>
      <c r="B27" s="1711" t="s">
        <v>2626</v>
      </c>
    </row>
    <row r="28" spans="1:2">
      <c r="A28" s="1704"/>
      <c r="B28" s="1711"/>
    </row>
    <row r="29" spans="1:2">
      <c r="A29" s="1704">
        <v>9</v>
      </c>
      <c r="B29" s="1711" t="s">
        <v>2627</v>
      </c>
    </row>
    <row r="30" spans="1:2">
      <c r="A30" s="1704"/>
      <c r="B30" s="1711"/>
    </row>
    <row r="31" spans="1:2">
      <c r="A31" s="1704"/>
      <c r="B31" s="1711"/>
    </row>
    <row r="32" spans="1:2">
      <c r="A32" s="1704">
        <v>10</v>
      </c>
      <c r="B32" s="1711" t="s">
        <v>2641</v>
      </c>
    </row>
    <row r="33" spans="1:2">
      <c r="A33" s="1704"/>
      <c r="B33" s="1711"/>
    </row>
    <row r="34" spans="1:2">
      <c r="A34" s="1704"/>
      <c r="B34" s="1711"/>
    </row>
    <row r="35" spans="1:2">
      <c r="A35" s="1704"/>
      <c r="B35" s="1711"/>
    </row>
    <row r="36" spans="1:2">
      <c r="A36" s="1704"/>
      <c r="B36" s="1711"/>
    </row>
    <row r="37" spans="1:2">
      <c r="A37" s="1704">
        <v>11</v>
      </c>
      <c r="B37" s="1711" t="s">
        <v>2642</v>
      </c>
    </row>
    <row r="38" spans="1:2">
      <c r="A38" s="1704"/>
      <c r="B38" s="1711"/>
    </row>
    <row r="39" spans="1:2">
      <c r="A39" s="1704"/>
      <c r="B39" s="1711"/>
    </row>
    <row r="40" spans="1:2">
      <c r="A40" s="1704">
        <v>12</v>
      </c>
      <c r="B40" s="1711" t="s">
        <v>2614</v>
      </c>
    </row>
    <row r="41" spans="1:2">
      <c r="A41" s="1704"/>
      <c r="B41" s="1711"/>
    </row>
    <row r="42" spans="1:2">
      <c r="A42" s="1704"/>
      <c r="B42" s="1711"/>
    </row>
    <row r="43" spans="1:2">
      <c r="A43" s="1704">
        <v>13</v>
      </c>
      <c r="B43" s="1711" t="s">
        <v>2422</v>
      </c>
    </row>
    <row r="44" spans="1:2">
      <c r="A44" s="1704"/>
      <c r="B44" s="1711"/>
    </row>
    <row r="45" spans="1:2">
      <c r="A45" s="1704"/>
      <c r="B45" s="1711"/>
    </row>
    <row r="46" spans="1:2">
      <c r="A46" s="1704">
        <v>14</v>
      </c>
      <c r="B46" s="1711" t="s">
        <v>2423</v>
      </c>
    </row>
    <row r="47" spans="1:2">
      <c r="A47" s="1704"/>
      <c r="B47" s="1711"/>
    </row>
    <row r="48" spans="1:2">
      <c r="A48" s="1704"/>
      <c r="B48" s="1711"/>
    </row>
    <row r="49" spans="1:2">
      <c r="A49" s="1704">
        <v>15</v>
      </c>
      <c r="B49" s="1711" t="s">
        <v>2424</v>
      </c>
    </row>
    <row r="50" spans="1:2">
      <c r="A50" s="1704"/>
      <c r="B50" s="1711"/>
    </row>
    <row r="51" spans="1:2">
      <c r="A51" s="1704"/>
      <c r="B51" s="1711"/>
    </row>
    <row r="52" spans="1:2">
      <c r="A52" s="1704">
        <v>16</v>
      </c>
      <c r="B52" s="1712" t="s">
        <v>2425</v>
      </c>
    </row>
    <row r="53" spans="1:2">
      <c r="A53" s="1704"/>
      <c r="B53" s="1712"/>
    </row>
    <row r="54" spans="1:2">
      <c r="A54" s="1704"/>
      <c r="B54" s="1712"/>
    </row>
    <row r="55" spans="1:2">
      <c r="A55" s="1704">
        <v>17</v>
      </c>
      <c r="B55" s="1713" t="s">
        <v>2426</v>
      </c>
    </row>
    <row r="56" spans="1:2">
      <c r="A56" s="1704"/>
      <c r="B56" s="1713"/>
    </row>
    <row r="57" spans="1:2">
      <c r="A57" s="1704"/>
      <c r="B57" s="1713"/>
    </row>
    <row r="58" spans="1:2">
      <c r="A58" s="1704"/>
      <c r="B58" s="1713"/>
    </row>
    <row r="59" spans="1:2">
      <c r="A59" s="1704">
        <v>18</v>
      </c>
      <c r="B59" s="1711" t="s">
        <v>2427</v>
      </c>
    </row>
    <row r="60" spans="1:2">
      <c r="A60" s="1704"/>
      <c r="B60" s="1711"/>
    </row>
    <row r="61" spans="1:2">
      <c r="A61" s="1704"/>
      <c r="B61" s="1711"/>
    </row>
    <row r="62" spans="1:2">
      <c r="A62" s="1704"/>
      <c r="B62" s="1711"/>
    </row>
    <row r="63" spans="1:2">
      <c r="A63" s="1704">
        <v>19</v>
      </c>
      <c r="B63" s="1713" t="s">
        <v>2428</v>
      </c>
    </row>
    <row r="64" spans="1:2">
      <c r="A64" s="1704"/>
      <c r="B64" s="1713"/>
    </row>
    <row r="65" spans="1:2">
      <c r="A65" s="1704"/>
      <c r="B65" s="1713"/>
    </row>
    <row r="66" spans="1:2">
      <c r="A66" s="803"/>
      <c r="B66" s="781"/>
    </row>
    <row r="67" spans="1:2">
      <c r="A67" s="803"/>
      <c r="B67" s="766" t="s">
        <v>2617</v>
      </c>
    </row>
    <row r="68" spans="1:2">
      <c r="A68" s="803"/>
      <c r="B68" s="781"/>
    </row>
    <row r="69" spans="1:2">
      <c r="A69" s="1704">
        <v>1</v>
      </c>
      <c r="B69" s="1714" t="s">
        <v>2643</v>
      </c>
    </row>
    <row r="70" spans="1:2">
      <c r="A70" s="1704"/>
      <c r="B70" s="1715"/>
    </row>
    <row r="71" spans="1:2">
      <c r="A71" s="1704"/>
      <c r="B71" s="1716"/>
    </row>
    <row r="72" spans="1:2">
      <c r="A72" s="1704">
        <v>2</v>
      </c>
      <c r="B72" s="1677" t="s">
        <v>2597</v>
      </c>
    </row>
    <row r="73" spans="1:2">
      <c r="A73" s="1704"/>
      <c r="B73" s="1677"/>
    </row>
    <row r="74" spans="1:2">
      <c r="A74" s="1704"/>
      <c r="B74" s="1677"/>
    </row>
    <row r="75" spans="1:2">
      <c r="A75" s="1704">
        <v>3</v>
      </c>
      <c r="B75" s="1714" t="s">
        <v>2595</v>
      </c>
    </row>
    <row r="76" spans="1:2">
      <c r="A76" s="1704"/>
      <c r="B76" s="1715"/>
    </row>
    <row r="77" spans="1:2">
      <c r="A77" s="1704"/>
      <c r="B77" s="1716"/>
    </row>
    <row r="78" spans="1:2">
      <c r="A78" s="1704">
        <v>4</v>
      </c>
      <c r="B78" s="1677" t="s">
        <v>2596</v>
      </c>
    </row>
    <row r="79" spans="1:2">
      <c r="A79" s="1704"/>
      <c r="B79" s="1677"/>
    </row>
    <row r="80" spans="1:2">
      <c r="A80" s="1704"/>
      <c r="B80" s="1677"/>
    </row>
    <row r="81" spans="1:2">
      <c r="A81" s="1704">
        <v>5</v>
      </c>
      <c r="B81" s="1677" t="s">
        <v>2574</v>
      </c>
    </row>
    <row r="82" spans="1:2">
      <c r="A82" s="1704"/>
      <c r="B82" s="1677"/>
    </row>
    <row r="83" spans="1:2">
      <c r="A83" s="1704"/>
      <c r="B83" s="1677"/>
    </row>
    <row r="84" spans="1:2">
      <c r="A84" s="1704"/>
      <c r="B84" s="1677"/>
    </row>
    <row r="85" spans="1:2">
      <c r="A85" s="1704"/>
      <c r="B85" s="1677"/>
    </row>
    <row r="86" spans="1:2">
      <c r="A86" s="1704">
        <v>6</v>
      </c>
      <c r="B86" s="1677" t="s">
        <v>2575</v>
      </c>
    </row>
    <row r="87" spans="1:2">
      <c r="A87" s="1704"/>
      <c r="B87" s="1677"/>
    </row>
    <row r="88" spans="1:2">
      <c r="A88" s="1704"/>
      <c r="B88" s="1677"/>
    </row>
    <row r="89" spans="1:2">
      <c r="A89" s="1704"/>
      <c r="B89" s="1677"/>
    </row>
    <row r="90" spans="1:2">
      <c r="A90" s="1704"/>
      <c r="B90" s="1677"/>
    </row>
    <row r="91" spans="1:2">
      <c r="A91" s="1704"/>
      <c r="B91" s="1677"/>
    </row>
    <row r="92" spans="1:2">
      <c r="A92" s="1704"/>
      <c r="B92" s="1677"/>
    </row>
    <row r="93" spans="1:2">
      <c r="A93" s="1704">
        <v>7</v>
      </c>
      <c r="B93" s="1677" t="s">
        <v>2598</v>
      </c>
    </row>
    <row r="94" spans="1:2">
      <c r="A94" s="1704"/>
      <c r="B94" s="1677"/>
    </row>
    <row r="95" spans="1:2">
      <c r="A95" s="1704"/>
      <c r="B95" s="1677"/>
    </row>
    <row r="96" spans="1:2">
      <c r="A96" s="1704">
        <v>8</v>
      </c>
      <c r="B96" s="1720" t="s">
        <v>2577</v>
      </c>
    </row>
    <row r="97" spans="1:2">
      <c r="A97" s="1704"/>
      <c r="B97" s="1720"/>
    </row>
    <row r="98" spans="1:2">
      <c r="A98" s="1704"/>
      <c r="B98" s="1720"/>
    </row>
    <row r="99" spans="1:2">
      <c r="A99" s="1704"/>
      <c r="B99" s="1720"/>
    </row>
    <row r="100" spans="1:2" ht="47.25">
      <c r="A100" s="774">
        <v>9</v>
      </c>
      <c r="B100" s="782" t="s">
        <v>2599</v>
      </c>
    </row>
    <row r="101" spans="1:2" ht="47.25">
      <c r="A101" s="774">
        <v>10</v>
      </c>
      <c r="B101" s="782" t="s">
        <v>2579</v>
      </c>
    </row>
    <row r="102" spans="1:2" ht="47.25">
      <c r="A102" s="774">
        <v>11</v>
      </c>
      <c r="B102" s="782" t="s">
        <v>2600</v>
      </c>
    </row>
    <row r="103" spans="1:2" ht="31.5">
      <c r="A103" s="774">
        <v>12</v>
      </c>
      <c r="B103" s="782" t="s">
        <v>2601</v>
      </c>
    </row>
    <row r="104" spans="1:2" ht="47.25">
      <c r="A104" s="774">
        <v>13</v>
      </c>
      <c r="B104" s="782" t="s">
        <v>2582</v>
      </c>
    </row>
    <row r="105" spans="1:2" ht="31.5">
      <c r="A105" s="774">
        <v>14</v>
      </c>
      <c r="B105" s="782" t="s">
        <v>2602</v>
      </c>
    </row>
    <row r="106" spans="1:2">
      <c r="B106" s="804"/>
    </row>
    <row r="108" spans="1:2" ht="16.5" hidden="1" thickBot="1">
      <c r="A108" s="800" t="s">
        <v>2609</v>
      </c>
      <c r="B108" s="801">
        <v>10425820</v>
      </c>
    </row>
    <row r="109" spans="1:2" hidden="1"/>
    <row r="110" spans="1:2" hidden="1">
      <c r="B110" s="762" t="s">
        <v>2644</v>
      </c>
    </row>
    <row r="111" spans="1:2" hidden="1"/>
    <row r="112" spans="1:2" ht="16.5" hidden="1" thickBot="1">
      <c r="A112" s="800" t="s">
        <v>2609</v>
      </c>
      <c r="B112" s="801">
        <v>90178435</v>
      </c>
    </row>
    <row r="113" spans="1:2" hidden="1"/>
    <row r="114" spans="1:2" hidden="1">
      <c r="B114" s="762" t="s">
        <v>2644</v>
      </c>
    </row>
    <row r="115" spans="1:2" hidden="1"/>
    <row r="116" spans="1:2" ht="16.5" hidden="1" thickBot="1">
      <c r="A116" s="800" t="s">
        <v>2609</v>
      </c>
      <c r="B116" s="801">
        <v>10256499</v>
      </c>
    </row>
    <row r="117" spans="1:2" hidden="1"/>
    <row r="118" spans="1:2" ht="16.5" hidden="1" thickBot="1">
      <c r="A118" s="1721" t="s">
        <v>2587</v>
      </c>
      <c r="B118" s="1722"/>
    </row>
    <row r="119" spans="1:2" hidden="1">
      <c r="A119" s="1717">
        <v>1</v>
      </c>
      <c r="B119" s="1718" t="s">
        <v>2645</v>
      </c>
    </row>
    <row r="120" spans="1:2" hidden="1">
      <c r="A120" s="1675"/>
      <c r="B120" s="1719"/>
    </row>
    <row r="121" spans="1:2" hidden="1">
      <c r="A121" s="1675"/>
      <c r="B121" s="1719"/>
    </row>
    <row r="122" spans="1:2" hidden="1">
      <c r="A122" s="1675"/>
      <c r="B122" s="1719"/>
    </row>
    <row r="123" spans="1:2" hidden="1">
      <c r="A123" s="1675">
        <v>2</v>
      </c>
      <c r="B123" s="1719" t="s">
        <v>2628</v>
      </c>
    </row>
    <row r="124" spans="1:2" hidden="1">
      <c r="A124" s="1675"/>
      <c r="B124" s="1719"/>
    </row>
    <row r="125" spans="1:2" hidden="1">
      <c r="A125" s="1675"/>
      <c r="B125" s="1719"/>
    </row>
    <row r="126" spans="1:2" hidden="1">
      <c r="A126" s="1675">
        <v>3</v>
      </c>
      <c r="B126" s="1719" t="s">
        <v>2563</v>
      </c>
    </row>
    <row r="127" spans="1:2" hidden="1">
      <c r="A127" s="1675"/>
      <c r="B127" s="1719"/>
    </row>
    <row r="128" spans="1:2" hidden="1">
      <c r="A128" s="1675"/>
      <c r="B128" s="1719"/>
    </row>
    <row r="129" spans="1:2" hidden="1">
      <c r="A129" s="1675">
        <v>4</v>
      </c>
      <c r="B129" s="1719" t="s">
        <v>2646</v>
      </c>
    </row>
    <row r="130" spans="1:2" hidden="1">
      <c r="A130" s="1675"/>
      <c r="B130" s="1719"/>
    </row>
    <row r="131" spans="1:2" hidden="1">
      <c r="A131" s="1675"/>
      <c r="B131" s="1719"/>
    </row>
    <row r="132" spans="1:2" hidden="1">
      <c r="A132" s="1675">
        <v>5</v>
      </c>
      <c r="B132" s="1719" t="s">
        <v>2647</v>
      </c>
    </row>
    <row r="133" spans="1:2" hidden="1">
      <c r="A133" s="1675"/>
      <c r="B133" s="1719"/>
    </row>
    <row r="134" spans="1:2" hidden="1">
      <c r="A134" s="1675"/>
      <c r="B134" s="1719"/>
    </row>
    <row r="135" spans="1:2" hidden="1">
      <c r="A135" s="1675">
        <v>6</v>
      </c>
      <c r="B135" s="1723" t="s">
        <v>2425</v>
      </c>
    </row>
    <row r="136" spans="1:2" hidden="1">
      <c r="A136" s="1675"/>
      <c r="B136" s="1723"/>
    </row>
    <row r="137" spans="1:2" hidden="1">
      <c r="A137" s="1675"/>
      <c r="B137" s="1723"/>
    </row>
    <row r="138" spans="1:2" hidden="1">
      <c r="A138" s="1675">
        <v>7</v>
      </c>
      <c r="B138" s="1719" t="s">
        <v>2641</v>
      </c>
    </row>
    <row r="139" spans="1:2" hidden="1">
      <c r="A139" s="1675"/>
      <c r="B139" s="1719"/>
    </row>
    <row r="140" spans="1:2" hidden="1">
      <c r="A140" s="1675"/>
      <c r="B140" s="1719"/>
    </row>
    <row r="141" spans="1:2" hidden="1">
      <c r="A141" s="1675"/>
      <c r="B141" s="1719"/>
    </row>
    <row r="142" spans="1:2" hidden="1">
      <c r="A142" s="1675"/>
      <c r="B142" s="1719"/>
    </row>
    <row r="143" spans="1:2" hidden="1">
      <c r="A143" s="1675">
        <v>8</v>
      </c>
      <c r="B143" s="1719" t="s">
        <v>2559</v>
      </c>
    </row>
    <row r="144" spans="1:2" hidden="1">
      <c r="A144" s="1675"/>
      <c r="B144" s="1719"/>
    </row>
    <row r="145" spans="1:2" hidden="1">
      <c r="A145" s="1675"/>
      <c r="B145" s="1719"/>
    </row>
    <row r="146" spans="1:2" hidden="1">
      <c r="A146" s="1675">
        <v>9</v>
      </c>
      <c r="B146" s="1719" t="s">
        <v>2648</v>
      </c>
    </row>
    <row r="147" spans="1:2" hidden="1">
      <c r="A147" s="1675"/>
      <c r="B147" s="1719"/>
    </row>
    <row r="148" spans="1:2" hidden="1">
      <c r="A148" s="1675"/>
      <c r="B148" s="1719"/>
    </row>
    <row r="149" spans="1:2" hidden="1">
      <c r="A149" s="1675">
        <v>10</v>
      </c>
      <c r="B149" s="1714" t="s">
        <v>2649</v>
      </c>
    </row>
    <row r="150" spans="1:2" hidden="1">
      <c r="A150" s="1675"/>
      <c r="B150" s="1715"/>
    </row>
    <row r="151" spans="1:2" hidden="1">
      <c r="A151" s="1675"/>
      <c r="B151" s="1715"/>
    </row>
    <row r="152" spans="1:2" hidden="1">
      <c r="A152" s="1675"/>
      <c r="B152" s="1716"/>
    </row>
    <row r="153" spans="1:2" hidden="1"/>
  </sheetData>
  <mergeCells count="75">
    <mergeCell ref="A143:A145"/>
    <mergeCell ref="B143:B145"/>
    <mergeCell ref="A146:A148"/>
    <mergeCell ref="B146:B148"/>
    <mergeCell ref="A149:A152"/>
    <mergeCell ref="B149:B152"/>
    <mergeCell ref="A132:A134"/>
    <mergeCell ref="B132:B134"/>
    <mergeCell ref="A135:A137"/>
    <mergeCell ref="B135:B137"/>
    <mergeCell ref="A138:A142"/>
    <mergeCell ref="B138:B142"/>
    <mergeCell ref="A123:A125"/>
    <mergeCell ref="B123:B125"/>
    <mergeCell ref="A126:A128"/>
    <mergeCell ref="B126:B128"/>
    <mergeCell ref="A129:A131"/>
    <mergeCell ref="B129:B131"/>
    <mergeCell ref="A119:A122"/>
    <mergeCell ref="B119:B122"/>
    <mergeCell ref="A78:A80"/>
    <mergeCell ref="B78:B80"/>
    <mergeCell ref="A81:A85"/>
    <mergeCell ref="B81:B85"/>
    <mergeCell ref="A86:A92"/>
    <mergeCell ref="B86:B92"/>
    <mergeCell ref="A93:A95"/>
    <mergeCell ref="B93:B95"/>
    <mergeCell ref="A96:A99"/>
    <mergeCell ref="B96:B99"/>
    <mergeCell ref="A118:B118"/>
    <mergeCell ref="A69:A71"/>
    <mergeCell ref="B69:B71"/>
    <mergeCell ref="A72:A74"/>
    <mergeCell ref="B72:B74"/>
    <mergeCell ref="A75:A77"/>
    <mergeCell ref="B75:B77"/>
    <mergeCell ref="A55:A58"/>
    <mergeCell ref="B55:B58"/>
    <mergeCell ref="A59:A62"/>
    <mergeCell ref="B59:B62"/>
    <mergeCell ref="A63:A65"/>
    <mergeCell ref="B63:B65"/>
    <mergeCell ref="A46:A48"/>
    <mergeCell ref="B46:B48"/>
    <mergeCell ref="A49:A51"/>
    <mergeCell ref="B49:B51"/>
    <mergeCell ref="A52:A54"/>
    <mergeCell ref="B52:B54"/>
    <mergeCell ref="A37:A39"/>
    <mergeCell ref="B37:B39"/>
    <mergeCell ref="A40:A42"/>
    <mergeCell ref="B40:B42"/>
    <mergeCell ref="A43:A45"/>
    <mergeCell ref="B43:B45"/>
    <mergeCell ref="A27:A28"/>
    <mergeCell ref="B27:B28"/>
    <mergeCell ref="A29:A31"/>
    <mergeCell ref="B29:B31"/>
    <mergeCell ref="A32:A36"/>
    <mergeCell ref="B32:B36"/>
    <mergeCell ref="A25:A26"/>
    <mergeCell ref="B25:B26"/>
    <mergeCell ref="A2:B2"/>
    <mergeCell ref="A3:B3"/>
    <mergeCell ref="A6:B6"/>
    <mergeCell ref="A9:A10"/>
    <mergeCell ref="B9:B10"/>
    <mergeCell ref="A11:A14"/>
    <mergeCell ref="B11:B14"/>
    <mergeCell ref="A15:A19"/>
    <mergeCell ref="B15:B16"/>
    <mergeCell ref="B17:B19"/>
    <mergeCell ref="A20:A24"/>
    <mergeCell ref="B20:B24"/>
  </mergeCells>
  <pageMargins left="0.78" right="0.2" top="0.75" bottom="0.75" header="0.3" footer="0.3"/>
  <pageSetup paperSize="5" scale="80" orientation="portrait" r:id="rId1"/>
</worksheet>
</file>

<file path=xl/worksheets/sheet42.xml><?xml version="1.0" encoding="utf-8"?>
<worksheet xmlns="http://schemas.openxmlformats.org/spreadsheetml/2006/main" xmlns:r="http://schemas.openxmlformats.org/officeDocument/2006/relationships">
  <dimension ref="A1:D113"/>
  <sheetViews>
    <sheetView zoomScale="75" zoomScaleNormal="75" workbookViewId="0">
      <selection activeCell="B14" sqref="B14:D15"/>
    </sheetView>
  </sheetViews>
  <sheetFormatPr defaultColWidth="9.140625" defaultRowHeight="15.75"/>
  <cols>
    <col min="1" max="1" width="9.7109375" style="767" customWidth="1"/>
    <col min="2" max="2" width="19.42578125" style="762" customWidth="1"/>
    <col min="3" max="3" width="21.42578125" style="762" customWidth="1"/>
    <col min="4" max="4" width="33.42578125" style="762" customWidth="1"/>
    <col min="5" max="16384" width="9.140625" style="762"/>
  </cols>
  <sheetData>
    <row r="1" spans="1:4" ht="16.5" thickBot="1"/>
    <row r="2" spans="1:4" ht="18.75" thickBot="1">
      <c r="A2" s="1726" t="s">
        <v>2650</v>
      </c>
      <c r="B2" s="1727"/>
      <c r="C2" s="1727"/>
      <c r="D2" s="1728"/>
    </row>
    <row r="3" spans="1:4" ht="16.5" thickBot="1"/>
    <row r="4" spans="1:4" ht="16.5" hidden="1" thickBot="1">
      <c r="A4" s="800" t="s">
        <v>2609</v>
      </c>
      <c r="B4" s="1729">
        <v>10556483</v>
      </c>
      <c r="C4" s="1730"/>
      <c r="D4" s="1731"/>
    </row>
    <row r="5" spans="1:4" ht="17.25" customHeight="1">
      <c r="A5" s="1732" t="s">
        <v>2548</v>
      </c>
      <c r="B5" s="1732"/>
      <c r="C5" s="1732"/>
      <c r="D5" s="1732"/>
    </row>
    <row r="6" spans="1:4">
      <c r="A6" s="779">
        <v>1</v>
      </c>
      <c r="B6" s="1677" t="s">
        <v>2651</v>
      </c>
      <c r="C6" s="1677"/>
      <c r="D6" s="1677"/>
    </row>
    <row r="7" spans="1:4">
      <c r="A7" s="779">
        <v>2</v>
      </c>
      <c r="B7" s="1677" t="s">
        <v>2652</v>
      </c>
      <c r="C7" s="1677"/>
      <c r="D7" s="1677"/>
    </row>
    <row r="8" spans="1:4">
      <c r="A8" s="779">
        <v>3</v>
      </c>
      <c r="B8" s="1671" t="s">
        <v>2653</v>
      </c>
      <c r="C8" s="1671"/>
      <c r="D8" s="1671"/>
    </row>
    <row r="9" spans="1:4">
      <c r="A9" s="779">
        <v>4</v>
      </c>
      <c r="B9" s="1671" t="s">
        <v>2654</v>
      </c>
      <c r="C9" s="1671"/>
      <c r="D9" s="1671"/>
    </row>
    <row r="10" spans="1:4" ht="20.25" customHeight="1">
      <c r="A10" s="1669" t="s">
        <v>2550</v>
      </c>
      <c r="B10" s="1669"/>
      <c r="C10" s="1669"/>
      <c r="D10" s="1669"/>
    </row>
    <row r="11" spans="1:4" ht="37.5" customHeight="1">
      <c r="A11" s="784">
        <v>1</v>
      </c>
      <c r="B11" s="1672" t="s">
        <v>372</v>
      </c>
      <c r="C11" s="1673"/>
      <c r="D11" s="1674"/>
    </row>
    <row r="12" spans="1:4" ht="30" customHeight="1">
      <c r="A12" s="1653">
        <v>2</v>
      </c>
      <c r="B12" s="1660" t="s">
        <v>2603</v>
      </c>
      <c r="C12" s="1660"/>
      <c r="D12" s="1660"/>
    </row>
    <row r="13" spans="1:4" ht="6" customHeight="1">
      <c r="A13" s="1653"/>
      <c r="B13" s="1660"/>
      <c r="C13" s="1660"/>
      <c r="D13" s="1660"/>
    </row>
    <row r="14" spans="1:4" ht="30" customHeight="1">
      <c r="A14" s="1653">
        <v>3</v>
      </c>
      <c r="B14" s="1660" t="s">
        <v>2604</v>
      </c>
      <c r="C14" s="1660"/>
      <c r="D14" s="1660"/>
    </row>
    <row r="15" spans="1:4" ht="14.25" customHeight="1">
      <c r="A15" s="1653"/>
      <c r="B15" s="1660"/>
      <c r="C15" s="1660"/>
      <c r="D15" s="1660"/>
    </row>
    <row r="16" spans="1:4" ht="30" customHeight="1">
      <c r="A16" s="1724">
        <v>4</v>
      </c>
      <c r="B16" s="1660" t="s">
        <v>2553</v>
      </c>
      <c r="C16" s="1660"/>
      <c r="D16" s="1660"/>
    </row>
    <row r="17" spans="1:4" ht="30" customHeight="1">
      <c r="A17" s="1725"/>
      <c r="B17" s="1660"/>
      <c r="C17" s="1660"/>
      <c r="D17" s="1660"/>
    </row>
    <row r="18" spans="1:4" ht="24" customHeight="1">
      <c r="A18" s="1725"/>
      <c r="B18" s="1660"/>
      <c r="C18" s="1660"/>
      <c r="D18" s="1660"/>
    </row>
    <row r="19" spans="1:4" ht="30" hidden="1" customHeight="1">
      <c r="A19" s="805"/>
      <c r="B19" s="1660"/>
      <c r="C19" s="1660"/>
      <c r="D19" s="1660"/>
    </row>
    <row r="20" spans="1:4" ht="30" customHeight="1">
      <c r="A20" s="1653">
        <v>5</v>
      </c>
      <c r="B20" s="1660" t="s">
        <v>2605</v>
      </c>
      <c r="C20" s="1660"/>
      <c r="D20" s="1660"/>
    </row>
    <row r="21" spans="1:4" ht="17.25" customHeight="1">
      <c r="A21" s="1653"/>
      <c r="B21" s="1660"/>
      <c r="C21" s="1660"/>
      <c r="D21" s="1660"/>
    </row>
    <row r="22" spans="1:4" ht="30" customHeight="1">
      <c r="A22" s="1653">
        <v>6</v>
      </c>
      <c r="B22" s="1660" t="s">
        <v>2606</v>
      </c>
      <c r="C22" s="1660"/>
      <c r="D22" s="1660"/>
    </row>
    <row r="23" spans="1:4" ht="30" customHeight="1">
      <c r="A23" s="1653"/>
      <c r="B23" s="1660"/>
      <c r="C23" s="1660"/>
      <c r="D23" s="1660"/>
    </row>
    <row r="24" spans="1:4" ht="3" customHeight="1">
      <c r="A24" s="1653"/>
      <c r="B24" s="1660"/>
      <c r="C24" s="1660"/>
      <c r="D24" s="1660"/>
    </row>
    <row r="25" spans="1:4" ht="30" customHeight="1">
      <c r="A25" s="1653">
        <v>7</v>
      </c>
      <c r="B25" s="1660" t="s">
        <v>2607</v>
      </c>
      <c r="C25" s="1660"/>
      <c r="D25" s="1660"/>
    </row>
    <row r="26" spans="1:4" ht="30" customHeight="1">
      <c r="A26" s="1653"/>
      <c r="B26" s="1660"/>
      <c r="C26" s="1660"/>
      <c r="D26" s="1660"/>
    </row>
    <row r="27" spans="1:4" ht="30" customHeight="1">
      <c r="A27" s="1653"/>
      <c r="B27" s="1660"/>
      <c r="C27" s="1660"/>
      <c r="D27" s="1660"/>
    </row>
    <row r="28" spans="1:4" ht="19.5" customHeight="1">
      <c r="A28" s="1653"/>
      <c r="B28" s="1660"/>
      <c r="C28" s="1660"/>
      <c r="D28" s="1660"/>
    </row>
    <row r="29" spans="1:4" ht="30" hidden="1" customHeight="1">
      <c r="A29" s="784"/>
      <c r="B29" s="1660"/>
      <c r="C29" s="1660"/>
      <c r="D29" s="1660"/>
    </row>
    <row r="30" spans="1:4" ht="30" customHeight="1">
      <c r="A30" s="1653">
        <v>8</v>
      </c>
      <c r="B30" s="1733" t="s">
        <v>2557</v>
      </c>
      <c r="C30" s="1733"/>
      <c r="D30" s="1733"/>
    </row>
    <row r="31" spans="1:4" ht="9" customHeight="1">
      <c r="A31" s="1653"/>
      <c r="B31" s="1733"/>
      <c r="C31" s="1733"/>
      <c r="D31" s="1733"/>
    </row>
    <row r="32" spans="1:4" ht="30" customHeight="1">
      <c r="A32" s="1653">
        <v>9</v>
      </c>
      <c r="B32" s="1733" t="s">
        <v>2626</v>
      </c>
      <c r="C32" s="1733"/>
      <c r="D32" s="1733"/>
    </row>
    <row r="33" spans="1:4" ht="30" customHeight="1">
      <c r="A33" s="1653"/>
      <c r="B33" s="1733"/>
      <c r="C33" s="1733"/>
      <c r="D33" s="1733"/>
    </row>
    <row r="34" spans="1:4" ht="30" customHeight="1">
      <c r="A34" s="1734">
        <v>10</v>
      </c>
      <c r="B34" s="1660" t="s">
        <v>2627</v>
      </c>
      <c r="C34" s="1735"/>
      <c r="D34" s="1735"/>
    </row>
    <row r="35" spans="1:4" ht="18" customHeight="1">
      <c r="A35" s="1734"/>
      <c r="B35" s="1735"/>
      <c r="C35" s="1735"/>
      <c r="D35" s="1735"/>
    </row>
    <row r="36" spans="1:4" ht="30" hidden="1" customHeight="1">
      <c r="A36" s="1734"/>
      <c r="B36" s="1735"/>
      <c r="C36" s="1735"/>
      <c r="D36" s="1735"/>
    </row>
    <row r="37" spans="1:4" ht="30" customHeight="1">
      <c r="A37" s="1734">
        <v>11</v>
      </c>
      <c r="B37" s="1733" t="s">
        <v>2419</v>
      </c>
      <c r="C37" s="1733"/>
      <c r="D37" s="1733"/>
    </row>
    <row r="38" spans="1:4" ht="30" customHeight="1">
      <c r="A38" s="1734"/>
      <c r="B38" s="1733"/>
      <c r="C38" s="1733"/>
      <c r="D38" s="1733"/>
    </row>
    <row r="39" spans="1:4" ht="30" customHeight="1">
      <c r="A39" s="1734"/>
      <c r="B39" s="1733"/>
      <c r="C39" s="1733"/>
      <c r="D39" s="1733"/>
    </row>
    <row r="40" spans="1:4" ht="25.5" customHeight="1">
      <c r="A40" s="1734"/>
      <c r="B40" s="1733"/>
      <c r="C40" s="1733"/>
      <c r="D40" s="1733"/>
    </row>
    <row r="41" spans="1:4" ht="30" hidden="1" customHeight="1">
      <c r="A41" s="1734"/>
      <c r="B41" s="1733"/>
      <c r="C41" s="1733"/>
      <c r="D41" s="1733"/>
    </row>
    <row r="42" spans="1:4" ht="30" customHeight="1">
      <c r="A42" s="1734">
        <v>12</v>
      </c>
      <c r="B42" s="1733" t="s">
        <v>2420</v>
      </c>
      <c r="C42" s="1733"/>
      <c r="D42" s="1733"/>
    </row>
    <row r="43" spans="1:4" ht="30" customHeight="1">
      <c r="A43" s="1734"/>
      <c r="B43" s="1733"/>
      <c r="C43" s="1733"/>
      <c r="D43" s="1733"/>
    </row>
    <row r="44" spans="1:4" ht="10.5" customHeight="1">
      <c r="A44" s="1734"/>
      <c r="B44" s="1733"/>
      <c r="C44" s="1733"/>
      <c r="D44" s="1733"/>
    </row>
    <row r="45" spans="1:4" ht="30" customHeight="1">
      <c r="A45" s="1653">
        <v>13</v>
      </c>
      <c r="B45" s="1733" t="s">
        <v>2562</v>
      </c>
      <c r="C45" s="1733"/>
      <c r="D45" s="1733"/>
    </row>
    <row r="46" spans="1:4" ht="30" customHeight="1">
      <c r="A46" s="1653"/>
      <c r="B46" s="1733"/>
      <c r="C46" s="1733"/>
      <c r="D46" s="1733"/>
    </row>
    <row r="47" spans="1:4" ht="3" customHeight="1">
      <c r="A47" s="1653"/>
      <c r="B47" s="1733"/>
      <c r="C47" s="1733"/>
      <c r="D47" s="1733"/>
    </row>
    <row r="48" spans="1:4" ht="30" customHeight="1">
      <c r="A48" s="1653">
        <v>14</v>
      </c>
      <c r="B48" s="1733" t="s">
        <v>2422</v>
      </c>
      <c r="C48" s="1733"/>
      <c r="D48" s="1733"/>
    </row>
    <row r="49" spans="1:4" ht="30" customHeight="1">
      <c r="A49" s="1653"/>
      <c r="B49" s="1733"/>
      <c r="C49" s="1733"/>
      <c r="D49" s="1733"/>
    </row>
    <row r="50" spans="1:4" ht="2.25" customHeight="1">
      <c r="A50" s="1653"/>
      <c r="B50" s="1733"/>
      <c r="C50" s="1733"/>
      <c r="D50" s="1733"/>
    </row>
    <row r="51" spans="1:4" ht="30" customHeight="1">
      <c r="A51" s="1653">
        <v>15</v>
      </c>
      <c r="B51" s="1733" t="s">
        <v>2564</v>
      </c>
      <c r="C51" s="1733"/>
      <c r="D51" s="1733"/>
    </row>
    <row r="52" spans="1:4" ht="30" customHeight="1">
      <c r="A52" s="1653"/>
      <c r="B52" s="1733"/>
      <c r="C52" s="1733"/>
      <c r="D52" s="1733"/>
    </row>
    <row r="53" spans="1:4" ht="1.5" customHeight="1">
      <c r="A53" s="1653"/>
      <c r="B53" s="1733"/>
      <c r="C53" s="1733"/>
      <c r="D53" s="1733"/>
    </row>
    <row r="54" spans="1:4" ht="30" customHeight="1">
      <c r="A54" s="1653">
        <v>16</v>
      </c>
      <c r="B54" s="1733" t="s">
        <v>2565</v>
      </c>
      <c r="C54" s="1733"/>
      <c r="D54" s="1733"/>
    </row>
    <row r="55" spans="1:4" ht="30" customHeight="1">
      <c r="A55" s="1653"/>
      <c r="B55" s="1733"/>
      <c r="C55" s="1733"/>
      <c r="D55" s="1733"/>
    </row>
    <row r="56" spans="1:4" ht="23.25" customHeight="1">
      <c r="A56" s="1653"/>
      <c r="B56" s="1733"/>
      <c r="C56" s="1733"/>
      <c r="D56" s="1733"/>
    </row>
    <row r="57" spans="1:4" ht="30" customHeight="1">
      <c r="A57" s="1653">
        <v>17</v>
      </c>
      <c r="B57" s="1736" t="s">
        <v>2655</v>
      </c>
      <c r="C57" s="1736"/>
      <c r="D57" s="1736"/>
    </row>
    <row r="58" spans="1:4" ht="30" customHeight="1">
      <c r="A58" s="1653"/>
      <c r="B58" s="1736"/>
      <c r="C58" s="1736"/>
      <c r="D58" s="1736"/>
    </row>
    <row r="59" spans="1:4" ht="23.25" customHeight="1">
      <c r="A59" s="1653"/>
      <c r="B59" s="1736"/>
      <c r="C59" s="1736"/>
      <c r="D59" s="1736"/>
    </row>
    <row r="60" spans="1:4" ht="30" customHeight="1">
      <c r="A60" s="1653">
        <v>18</v>
      </c>
      <c r="B60" s="1733" t="s">
        <v>2656</v>
      </c>
      <c r="C60" s="1733"/>
      <c r="D60" s="1733"/>
    </row>
    <row r="61" spans="1:4" ht="30" customHeight="1">
      <c r="A61" s="1653"/>
      <c r="B61" s="1733"/>
      <c r="C61" s="1733"/>
      <c r="D61" s="1733"/>
    </row>
    <row r="62" spans="1:4" ht="9" customHeight="1">
      <c r="A62" s="1653"/>
      <c r="B62" s="1733"/>
      <c r="C62" s="1733"/>
      <c r="D62" s="1733"/>
    </row>
    <row r="63" spans="1:4" ht="30" hidden="1" customHeight="1">
      <c r="A63" s="784"/>
      <c r="B63" s="1733"/>
      <c r="C63" s="1733"/>
      <c r="D63" s="1733"/>
    </row>
    <row r="64" spans="1:4" ht="30" customHeight="1">
      <c r="A64" s="1653">
        <v>19</v>
      </c>
      <c r="B64" s="1733" t="s">
        <v>2657</v>
      </c>
      <c r="C64" s="1733"/>
      <c r="D64" s="1733"/>
    </row>
    <row r="65" spans="1:4" ht="30" customHeight="1">
      <c r="A65" s="1653"/>
      <c r="B65" s="1733"/>
      <c r="C65" s="1733"/>
      <c r="D65" s="1733"/>
    </row>
    <row r="66" spans="1:4" ht="25.5" customHeight="1">
      <c r="A66" s="1653"/>
      <c r="B66" s="1733"/>
      <c r="C66" s="1733"/>
      <c r="D66" s="1733"/>
    </row>
    <row r="67" spans="1:4" ht="30" hidden="1" customHeight="1">
      <c r="A67" s="1653"/>
      <c r="B67" s="1733"/>
      <c r="C67" s="1733"/>
      <c r="D67" s="1733"/>
    </row>
    <row r="68" spans="1:4" ht="30" customHeight="1">
      <c r="A68" s="1653">
        <v>20</v>
      </c>
      <c r="B68" s="1733" t="s">
        <v>2658</v>
      </c>
      <c r="C68" s="1733"/>
      <c r="D68" s="1733"/>
    </row>
    <row r="69" spans="1:4" ht="22.5" customHeight="1">
      <c r="A69" s="1653"/>
      <c r="B69" s="1733"/>
      <c r="C69" s="1733"/>
      <c r="D69" s="1733"/>
    </row>
    <row r="70" spans="1:4" ht="30" hidden="1" customHeight="1">
      <c r="A70" s="784"/>
      <c r="B70" s="1733"/>
      <c r="C70" s="1733"/>
      <c r="D70" s="1733"/>
    </row>
    <row r="71" spans="1:4" ht="30" customHeight="1">
      <c r="A71" s="1653">
        <v>21</v>
      </c>
      <c r="B71" s="1733" t="s">
        <v>2643</v>
      </c>
      <c r="C71" s="1733"/>
      <c r="D71" s="1733"/>
    </row>
    <row r="72" spans="1:4" ht="24.75" customHeight="1">
      <c r="A72" s="1653"/>
      <c r="B72" s="1733"/>
      <c r="C72" s="1733"/>
      <c r="D72" s="1733"/>
    </row>
    <row r="73" spans="1:4" ht="30" hidden="1" customHeight="1">
      <c r="A73" s="1653"/>
      <c r="B73" s="1733"/>
      <c r="C73" s="1733"/>
      <c r="D73" s="1733"/>
    </row>
    <row r="74" spans="1:4" ht="30" customHeight="1">
      <c r="A74" s="1653">
        <v>22</v>
      </c>
      <c r="B74" s="1733" t="s">
        <v>2430</v>
      </c>
      <c r="C74" s="1733"/>
      <c r="D74" s="1733"/>
    </row>
    <row r="75" spans="1:4" ht="30" customHeight="1">
      <c r="A75" s="1653"/>
      <c r="B75" s="1733"/>
      <c r="C75" s="1733"/>
      <c r="D75" s="1733"/>
    </row>
    <row r="76" spans="1:4" ht="6" customHeight="1">
      <c r="A76" s="1653"/>
      <c r="B76" s="1733"/>
      <c r="C76" s="1733"/>
      <c r="D76" s="1733"/>
    </row>
    <row r="77" spans="1:4" ht="30" customHeight="1">
      <c r="A77" s="1653">
        <v>23</v>
      </c>
      <c r="B77" s="1733" t="s">
        <v>2431</v>
      </c>
      <c r="C77" s="1733"/>
      <c r="D77" s="1733"/>
    </row>
    <row r="78" spans="1:4" ht="30" customHeight="1">
      <c r="A78" s="1653"/>
      <c r="B78" s="1733"/>
      <c r="C78" s="1733"/>
      <c r="D78" s="1733"/>
    </row>
    <row r="79" spans="1:4" ht="6" customHeight="1">
      <c r="A79" s="1653"/>
      <c r="B79" s="1733"/>
      <c r="C79" s="1733"/>
      <c r="D79" s="1733"/>
    </row>
    <row r="80" spans="1:4" ht="30" customHeight="1">
      <c r="A80" s="1653">
        <v>24</v>
      </c>
      <c r="B80" s="1660" t="s">
        <v>2659</v>
      </c>
      <c r="C80" s="1660"/>
      <c r="D80" s="1660"/>
    </row>
    <row r="81" spans="1:4" ht="30" customHeight="1">
      <c r="A81" s="1653"/>
      <c r="B81" s="1660"/>
      <c r="C81" s="1660"/>
      <c r="D81" s="1660"/>
    </row>
    <row r="82" spans="1:4" ht="3" customHeight="1">
      <c r="A82" s="1653"/>
      <c r="B82" s="1660"/>
      <c r="C82" s="1660"/>
      <c r="D82" s="1660"/>
    </row>
    <row r="83" spans="1:4" ht="30" customHeight="1">
      <c r="A83" s="1653">
        <v>25</v>
      </c>
      <c r="B83" s="1660" t="s">
        <v>2660</v>
      </c>
      <c r="C83" s="1660"/>
      <c r="D83" s="1660"/>
    </row>
    <row r="84" spans="1:4" ht="30" customHeight="1">
      <c r="A84" s="1653"/>
      <c r="B84" s="1660"/>
      <c r="C84" s="1660"/>
      <c r="D84" s="1660"/>
    </row>
    <row r="85" spans="1:4" ht="30" customHeight="1">
      <c r="A85" s="1653"/>
      <c r="B85" s="1660"/>
      <c r="C85" s="1660"/>
      <c r="D85" s="1660"/>
    </row>
    <row r="86" spans="1:4" ht="3.75" customHeight="1">
      <c r="A86" s="1653"/>
      <c r="B86" s="1660"/>
      <c r="C86" s="1660"/>
      <c r="D86" s="1660"/>
    </row>
    <row r="87" spans="1:4" ht="30" hidden="1" customHeight="1">
      <c r="A87" s="1653"/>
      <c r="B87" s="1660"/>
      <c r="C87" s="1660"/>
      <c r="D87" s="1660"/>
    </row>
    <row r="88" spans="1:4" ht="30" customHeight="1">
      <c r="A88" s="1653">
        <v>26</v>
      </c>
      <c r="B88" s="1660" t="s">
        <v>2631</v>
      </c>
      <c r="C88" s="1660"/>
      <c r="D88" s="1660"/>
    </row>
    <row r="89" spans="1:4" ht="30" customHeight="1">
      <c r="A89" s="1653"/>
      <c r="B89" s="1660"/>
      <c r="C89" s="1660"/>
      <c r="D89" s="1660"/>
    </row>
    <row r="90" spans="1:4" ht="30" customHeight="1">
      <c r="A90" s="1653"/>
      <c r="B90" s="1660"/>
      <c r="C90" s="1660"/>
      <c r="D90" s="1660"/>
    </row>
    <row r="91" spans="1:4" ht="30" customHeight="1">
      <c r="A91" s="1653"/>
      <c r="B91" s="1660"/>
      <c r="C91" s="1660"/>
      <c r="D91" s="1660"/>
    </row>
    <row r="92" spans="1:4" ht="16.5" customHeight="1">
      <c r="A92" s="1653"/>
      <c r="B92" s="1660"/>
      <c r="C92" s="1660"/>
      <c r="D92" s="1660"/>
    </row>
    <row r="93" spans="1:4" ht="30" hidden="1" customHeight="1">
      <c r="A93" s="1653"/>
      <c r="B93" s="1660"/>
      <c r="C93" s="1660"/>
      <c r="D93" s="1660"/>
    </row>
    <row r="94" spans="1:4" ht="16.5" customHeight="1">
      <c r="A94" s="1653"/>
      <c r="B94" s="1660"/>
      <c r="C94" s="1660"/>
      <c r="D94" s="1660"/>
    </row>
    <row r="95" spans="1:4" ht="30" customHeight="1">
      <c r="A95" s="1653">
        <v>27</v>
      </c>
      <c r="B95" s="1660" t="s">
        <v>2661</v>
      </c>
      <c r="C95" s="1660"/>
      <c r="D95" s="1660"/>
    </row>
    <row r="96" spans="1:4" ht="30" customHeight="1">
      <c r="A96" s="1653"/>
      <c r="B96" s="1660"/>
      <c r="C96" s="1660"/>
      <c r="D96" s="1660"/>
    </row>
    <row r="97" spans="1:4" ht="6.75" customHeight="1">
      <c r="A97" s="1653"/>
      <c r="B97" s="1660"/>
      <c r="C97" s="1660"/>
      <c r="D97" s="1660"/>
    </row>
    <row r="98" spans="1:4" ht="30" customHeight="1">
      <c r="A98" s="1653">
        <v>28</v>
      </c>
      <c r="B98" s="1736" t="s">
        <v>2662</v>
      </c>
      <c r="C98" s="1736"/>
      <c r="D98" s="1736"/>
    </row>
    <row r="99" spans="1:4" ht="30" customHeight="1">
      <c r="A99" s="1653"/>
      <c r="B99" s="1736"/>
      <c r="C99" s="1736"/>
      <c r="D99" s="1736"/>
    </row>
    <row r="100" spans="1:4" ht="30" customHeight="1">
      <c r="A100" s="1653"/>
      <c r="B100" s="1736"/>
      <c r="C100" s="1736"/>
      <c r="D100" s="1736"/>
    </row>
    <row r="101" spans="1:4" ht="6.75" customHeight="1">
      <c r="A101" s="1653"/>
      <c r="B101" s="1736"/>
      <c r="C101" s="1736"/>
      <c r="D101" s="1736"/>
    </row>
    <row r="102" spans="1:4" ht="30" customHeight="1">
      <c r="A102" s="784">
        <v>29</v>
      </c>
      <c r="B102" s="1737" t="s">
        <v>2599</v>
      </c>
      <c r="C102" s="1738"/>
      <c r="D102" s="1738"/>
    </row>
    <row r="103" spans="1:4" ht="30" customHeight="1">
      <c r="A103" s="784">
        <v>30</v>
      </c>
      <c r="B103" s="1733" t="s">
        <v>2579</v>
      </c>
      <c r="C103" s="1733"/>
      <c r="D103" s="1733"/>
    </row>
    <row r="104" spans="1:4" ht="30" customHeight="1">
      <c r="A104" s="784">
        <v>31</v>
      </c>
      <c r="B104" s="1733" t="s">
        <v>2580</v>
      </c>
      <c r="C104" s="1733"/>
      <c r="D104" s="1733"/>
    </row>
    <row r="105" spans="1:4" ht="30" customHeight="1">
      <c r="A105" s="784">
        <v>32</v>
      </c>
      <c r="B105" s="1733" t="s">
        <v>2663</v>
      </c>
      <c r="C105" s="1733"/>
      <c r="D105" s="1733"/>
    </row>
    <row r="106" spans="1:4" ht="30" customHeight="1">
      <c r="A106" s="784">
        <v>33</v>
      </c>
      <c r="B106" s="1733" t="s">
        <v>2582</v>
      </c>
      <c r="C106" s="1733"/>
      <c r="D106" s="1733"/>
    </row>
    <row r="107" spans="1:4" ht="30" customHeight="1">
      <c r="A107" s="784">
        <v>34</v>
      </c>
      <c r="B107" s="1733" t="s">
        <v>2602</v>
      </c>
      <c r="C107" s="1733"/>
      <c r="D107" s="1733"/>
    </row>
    <row r="108" spans="1:4" ht="30" customHeight="1">
      <c r="A108" s="784">
        <v>35</v>
      </c>
      <c r="B108" s="1660" t="s">
        <v>2616</v>
      </c>
      <c r="C108" s="1660"/>
      <c r="D108" s="1660"/>
    </row>
    <row r="109" spans="1:4" ht="30" customHeight="1"/>
    <row r="110" spans="1:4" ht="30" customHeight="1"/>
    <row r="111" spans="1:4" ht="30" customHeight="1"/>
    <row r="112" spans="1:4" ht="30" customHeight="1"/>
    <row r="113" ht="30" customHeight="1"/>
  </sheetData>
  <mergeCells count="70">
    <mergeCell ref="B108:D108"/>
    <mergeCell ref="B102:D102"/>
    <mergeCell ref="B103:D103"/>
    <mergeCell ref="B104:D104"/>
    <mergeCell ref="B105:D105"/>
    <mergeCell ref="B106:D106"/>
    <mergeCell ref="B107:D107"/>
    <mergeCell ref="A88:A94"/>
    <mergeCell ref="B88:D94"/>
    <mergeCell ref="A95:A97"/>
    <mergeCell ref="B95:D97"/>
    <mergeCell ref="A98:A101"/>
    <mergeCell ref="B98:D101"/>
    <mergeCell ref="A77:A79"/>
    <mergeCell ref="B77:D79"/>
    <mergeCell ref="A80:A82"/>
    <mergeCell ref="B80:D82"/>
    <mergeCell ref="A83:A87"/>
    <mergeCell ref="B83:D87"/>
    <mergeCell ref="A68:A69"/>
    <mergeCell ref="B68:D70"/>
    <mergeCell ref="A71:A73"/>
    <mergeCell ref="B71:D73"/>
    <mergeCell ref="A74:A76"/>
    <mergeCell ref="B74:D76"/>
    <mergeCell ref="A57:A59"/>
    <mergeCell ref="B57:D59"/>
    <mergeCell ref="A60:A62"/>
    <mergeCell ref="B60:D63"/>
    <mergeCell ref="A64:A67"/>
    <mergeCell ref="B64:D67"/>
    <mergeCell ref="A48:A50"/>
    <mergeCell ref="B48:D50"/>
    <mergeCell ref="A51:A53"/>
    <mergeCell ref="B51:D53"/>
    <mergeCell ref="A54:A56"/>
    <mergeCell ref="B54:D56"/>
    <mergeCell ref="A37:A41"/>
    <mergeCell ref="B37:D41"/>
    <mergeCell ref="A42:A44"/>
    <mergeCell ref="B42:D44"/>
    <mergeCell ref="A45:A47"/>
    <mergeCell ref="B45:D47"/>
    <mergeCell ref="A30:A31"/>
    <mergeCell ref="B30:D31"/>
    <mergeCell ref="A32:A33"/>
    <mergeCell ref="B32:D33"/>
    <mergeCell ref="A34:A36"/>
    <mergeCell ref="B34:D36"/>
    <mergeCell ref="A20:A21"/>
    <mergeCell ref="B20:D21"/>
    <mergeCell ref="A22:A24"/>
    <mergeCell ref="B22:D24"/>
    <mergeCell ref="A25:A28"/>
    <mergeCell ref="B25:D29"/>
    <mergeCell ref="A16:A18"/>
    <mergeCell ref="B16:D19"/>
    <mergeCell ref="A2:D2"/>
    <mergeCell ref="B4:D4"/>
    <mergeCell ref="B6:D6"/>
    <mergeCell ref="B7:D7"/>
    <mergeCell ref="B8:D8"/>
    <mergeCell ref="B9:D9"/>
    <mergeCell ref="B11:D11"/>
    <mergeCell ref="A12:A13"/>
    <mergeCell ref="B12:D13"/>
    <mergeCell ref="A14:A15"/>
    <mergeCell ref="B14:D15"/>
    <mergeCell ref="A5:D5"/>
    <mergeCell ref="A10:D10"/>
  </mergeCells>
  <pageMargins left="1.06" right="0.2" top="0.75" bottom="0.75" header="0.3" footer="0.3"/>
  <pageSetup paperSize="5" scale="92" orientation="portrait" r:id="rId1"/>
</worksheet>
</file>

<file path=xl/worksheets/sheet43.xml><?xml version="1.0" encoding="utf-8"?>
<worksheet xmlns="http://schemas.openxmlformats.org/spreadsheetml/2006/main" xmlns:r="http://schemas.openxmlformats.org/officeDocument/2006/relationships">
  <dimension ref="B1:E43"/>
  <sheetViews>
    <sheetView topLeftCell="B1" zoomScale="75" zoomScaleNormal="75" workbookViewId="0">
      <selection activeCell="J12" sqref="J12"/>
    </sheetView>
  </sheetViews>
  <sheetFormatPr defaultColWidth="9.140625" defaultRowHeight="15.75"/>
  <cols>
    <col min="1" max="1" width="0" style="762" hidden="1" customWidth="1"/>
    <col min="2" max="2" width="7.28515625" style="762" customWidth="1"/>
    <col min="3" max="3" width="21.42578125" style="762" customWidth="1"/>
    <col min="4" max="4" width="19" style="762" customWidth="1"/>
    <col min="5" max="5" width="34.85546875" style="762" customWidth="1"/>
    <col min="6" max="16384" width="9.140625" style="762"/>
  </cols>
  <sheetData>
    <row r="1" spans="2:5" ht="16.5" thickBot="1">
      <c r="B1" s="1651" t="s">
        <v>368</v>
      </c>
      <c r="C1" s="1663"/>
      <c r="D1" s="1663"/>
      <c r="E1" s="1652"/>
    </row>
    <row r="2" spans="2:5" ht="16.5" hidden="1" thickBot="1">
      <c r="B2" s="800" t="s">
        <v>2609</v>
      </c>
      <c r="C2" s="1729">
        <v>10550871</v>
      </c>
      <c r="D2" s="1730"/>
      <c r="E2" s="1731"/>
    </row>
    <row r="3" spans="2:5" hidden="1"/>
    <row r="4" spans="2:5" hidden="1"/>
    <row r="5" spans="2:5">
      <c r="B5" s="1676" t="s">
        <v>2587</v>
      </c>
      <c r="C5" s="1676"/>
      <c r="D5" s="1676"/>
      <c r="E5" s="1676"/>
    </row>
    <row r="6" spans="2:5" ht="15" customHeight="1">
      <c r="B6" s="1653">
        <v>1</v>
      </c>
      <c r="C6" s="1660" t="s">
        <v>2643</v>
      </c>
      <c r="D6" s="1660"/>
      <c r="E6" s="1660"/>
    </row>
    <row r="7" spans="2:5">
      <c r="B7" s="1653"/>
      <c r="C7" s="1660"/>
      <c r="D7" s="1660"/>
      <c r="E7" s="1660"/>
    </row>
    <row r="8" spans="2:5">
      <c r="B8" s="1653"/>
      <c r="C8" s="1660"/>
      <c r="D8" s="1660"/>
      <c r="E8" s="1660"/>
    </row>
    <row r="9" spans="2:5" ht="33" customHeight="1">
      <c r="B9" s="784">
        <v>2</v>
      </c>
      <c r="C9" s="1672" t="s">
        <v>2616</v>
      </c>
      <c r="D9" s="1673"/>
      <c r="E9" s="1674"/>
    </row>
    <row r="10" spans="2:5">
      <c r="B10" s="1653">
        <v>3</v>
      </c>
      <c r="C10" s="1739" t="s">
        <v>2595</v>
      </c>
      <c r="D10" s="1740"/>
      <c r="E10" s="1741"/>
    </row>
    <row r="11" spans="2:5">
      <c r="B11" s="1653"/>
      <c r="C11" s="1742"/>
      <c r="D11" s="1743"/>
      <c r="E11" s="1744"/>
    </row>
    <row r="12" spans="2:5" ht="39" customHeight="1">
      <c r="B12" s="1653"/>
      <c r="C12" s="1745"/>
      <c r="D12" s="1746"/>
      <c r="E12" s="1747"/>
    </row>
    <row r="13" spans="2:5" ht="15" customHeight="1">
      <c r="B13" s="1653">
        <v>4</v>
      </c>
      <c r="C13" s="1739" t="s">
        <v>2596</v>
      </c>
      <c r="D13" s="1740"/>
      <c r="E13" s="1741"/>
    </row>
    <row r="14" spans="2:5">
      <c r="B14" s="1653"/>
      <c r="C14" s="1742"/>
      <c r="D14" s="1743"/>
      <c r="E14" s="1744"/>
    </row>
    <row r="15" spans="2:5" ht="31.5" customHeight="1">
      <c r="B15" s="1653"/>
      <c r="C15" s="1745"/>
      <c r="D15" s="1746"/>
      <c r="E15" s="1747"/>
    </row>
    <row r="16" spans="2:5" ht="15" customHeight="1">
      <c r="B16" s="1653">
        <v>5</v>
      </c>
      <c r="C16" s="1739" t="s">
        <v>2597</v>
      </c>
      <c r="D16" s="1740"/>
      <c r="E16" s="1741"/>
    </row>
    <row r="17" spans="2:5">
      <c r="B17" s="1653"/>
      <c r="C17" s="1742"/>
      <c r="D17" s="1743"/>
      <c r="E17" s="1744"/>
    </row>
    <row r="18" spans="2:5" ht="34.5" customHeight="1">
      <c r="B18" s="1653"/>
      <c r="C18" s="1745"/>
      <c r="D18" s="1746"/>
      <c r="E18" s="1747"/>
    </row>
    <row r="19" spans="2:5" ht="15" customHeight="1">
      <c r="B19" s="1653">
        <v>6</v>
      </c>
      <c r="C19" s="1660" t="s">
        <v>2574</v>
      </c>
      <c r="D19" s="1660"/>
      <c r="E19" s="1660"/>
    </row>
    <row r="20" spans="2:5">
      <c r="B20" s="1653"/>
      <c r="C20" s="1660"/>
      <c r="D20" s="1660"/>
      <c r="E20" s="1660"/>
    </row>
    <row r="21" spans="2:5">
      <c r="B21" s="1653"/>
      <c r="C21" s="1660"/>
      <c r="D21" s="1660"/>
      <c r="E21" s="1660"/>
    </row>
    <row r="22" spans="2:5">
      <c r="B22" s="1653"/>
      <c r="C22" s="1660"/>
      <c r="D22" s="1660"/>
      <c r="E22" s="1660"/>
    </row>
    <row r="23" spans="2:5">
      <c r="B23" s="1653"/>
      <c r="C23" s="1660"/>
      <c r="D23" s="1660"/>
      <c r="E23" s="1660"/>
    </row>
    <row r="24" spans="2:5" ht="15" customHeight="1">
      <c r="B24" s="1653">
        <v>7</v>
      </c>
      <c r="C24" s="1660" t="s">
        <v>2575</v>
      </c>
      <c r="D24" s="1660"/>
      <c r="E24" s="1660"/>
    </row>
    <row r="25" spans="2:5">
      <c r="B25" s="1653"/>
      <c r="C25" s="1660"/>
      <c r="D25" s="1660"/>
      <c r="E25" s="1660"/>
    </row>
    <row r="26" spans="2:5">
      <c r="B26" s="1653"/>
      <c r="C26" s="1660"/>
      <c r="D26" s="1660"/>
      <c r="E26" s="1660"/>
    </row>
    <row r="27" spans="2:5">
      <c r="B27" s="1653"/>
      <c r="C27" s="1660"/>
      <c r="D27" s="1660"/>
      <c r="E27" s="1660"/>
    </row>
    <row r="28" spans="2:5">
      <c r="B28" s="1653"/>
      <c r="C28" s="1660"/>
      <c r="D28" s="1660"/>
      <c r="E28" s="1660"/>
    </row>
    <row r="29" spans="2:5">
      <c r="B29" s="1653"/>
      <c r="C29" s="1660"/>
      <c r="D29" s="1660"/>
      <c r="E29" s="1660"/>
    </row>
    <row r="30" spans="2:5">
      <c r="B30" s="1653"/>
      <c r="C30" s="1660"/>
      <c r="D30" s="1660"/>
      <c r="E30" s="1660"/>
    </row>
    <row r="31" spans="2:5" ht="15" customHeight="1">
      <c r="B31" s="1653">
        <v>8</v>
      </c>
      <c r="C31" s="1660" t="s">
        <v>2598</v>
      </c>
      <c r="D31" s="1660"/>
      <c r="E31" s="1660"/>
    </row>
    <row r="32" spans="2:5">
      <c r="B32" s="1653"/>
      <c r="C32" s="1660"/>
      <c r="D32" s="1660"/>
      <c r="E32" s="1660"/>
    </row>
    <row r="33" spans="2:5">
      <c r="B33" s="1653"/>
      <c r="C33" s="1660"/>
      <c r="D33" s="1660"/>
      <c r="E33" s="1660"/>
    </row>
    <row r="34" spans="2:5" ht="15" customHeight="1">
      <c r="B34" s="1653">
        <v>9</v>
      </c>
      <c r="C34" s="1661" t="s">
        <v>2577</v>
      </c>
      <c r="D34" s="1661"/>
      <c r="E34" s="1661"/>
    </row>
    <row r="35" spans="2:5">
      <c r="B35" s="1653"/>
      <c r="C35" s="1661"/>
      <c r="D35" s="1661"/>
      <c r="E35" s="1661"/>
    </row>
    <row r="36" spans="2:5">
      <c r="B36" s="1653"/>
      <c r="C36" s="1661"/>
      <c r="D36" s="1661"/>
      <c r="E36" s="1661"/>
    </row>
    <row r="37" spans="2:5">
      <c r="B37" s="1653"/>
      <c r="C37" s="1661"/>
      <c r="D37" s="1661"/>
      <c r="E37" s="1661"/>
    </row>
    <row r="38" spans="2:5" ht="63.75" customHeight="1">
      <c r="B38" s="784">
        <v>10</v>
      </c>
      <c r="C38" s="1660" t="s">
        <v>2599</v>
      </c>
      <c r="D38" s="1660"/>
      <c r="E38" s="1660"/>
    </row>
    <row r="39" spans="2:5" ht="64.5" customHeight="1">
      <c r="B39" s="784">
        <v>11</v>
      </c>
      <c r="C39" s="1660" t="s">
        <v>2579</v>
      </c>
      <c r="D39" s="1660"/>
      <c r="E39" s="1660"/>
    </row>
    <row r="40" spans="2:5" ht="51" customHeight="1">
      <c r="B40" s="784">
        <v>12</v>
      </c>
      <c r="C40" s="1660" t="s">
        <v>2600</v>
      </c>
      <c r="D40" s="1660"/>
      <c r="E40" s="1660"/>
    </row>
    <row r="41" spans="2:5" ht="49.5" customHeight="1">
      <c r="B41" s="784">
        <v>13</v>
      </c>
      <c r="C41" s="1660" t="s">
        <v>2601</v>
      </c>
      <c r="D41" s="1660"/>
      <c r="E41" s="1660"/>
    </row>
    <row r="42" spans="2:5" ht="50.25" customHeight="1">
      <c r="B42" s="784">
        <v>14</v>
      </c>
      <c r="C42" s="1660" t="s">
        <v>2582</v>
      </c>
      <c r="D42" s="1660"/>
      <c r="E42" s="1660"/>
    </row>
    <row r="43" spans="2:5" ht="52.5" customHeight="1">
      <c r="B43" s="784">
        <v>15</v>
      </c>
      <c r="C43" s="1660" t="s">
        <v>2602</v>
      </c>
      <c r="D43" s="1660"/>
      <c r="E43" s="1660"/>
    </row>
  </sheetData>
  <mergeCells count="26">
    <mergeCell ref="C42:E42"/>
    <mergeCell ref="C43:E43"/>
    <mergeCell ref="B34:B37"/>
    <mergeCell ref="C34:E37"/>
    <mergeCell ref="C38:E38"/>
    <mergeCell ref="C39:E39"/>
    <mergeCell ref="C40:E40"/>
    <mergeCell ref="C41:E41"/>
    <mergeCell ref="B19:B23"/>
    <mergeCell ref="C19:E23"/>
    <mergeCell ref="B24:B30"/>
    <mergeCell ref="C24:E30"/>
    <mergeCell ref="B31:B33"/>
    <mergeCell ref="C31:E33"/>
    <mergeCell ref="B10:B12"/>
    <mergeCell ref="C10:E12"/>
    <mergeCell ref="B13:B15"/>
    <mergeCell ref="C13:E15"/>
    <mergeCell ref="B16:B18"/>
    <mergeCell ref="C16:E18"/>
    <mergeCell ref="C9:E9"/>
    <mergeCell ref="B1:E1"/>
    <mergeCell ref="C2:E2"/>
    <mergeCell ref="B5:E5"/>
    <mergeCell ref="B6:B8"/>
    <mergeCell ref="C6:E8"/>
  </mergeCells>
  <pageMargins left="1.2" right="0.2" top="0.75" bottom="0.75" header="0.3" footer="0.3"/>
  <pageSetup paperSize="5" orientation="portrait" r:id="rId1"/>
</worksheet>
</file>

<file path=xl/worksheets/sheet44.xml><?xml version="1.0" encoding="utf-8"?>
<worksheet xmlns="http://schemas.openxmlformats.org/spreadsheetml/2006/main" xmlns:r="http://schemas.openxmlformats.org/officeDocument/2006/relationships">
  <dimension ref="A1:B24"/>
  <sheetViews>
    <sheetView zoomScale="75" zoomScaleNormal="75" workbookViewId="0">
      <selection sqref="A1:B1"/>
    </sheetView>
  </sheetViews>
  <sheetFormatPr defaultColWidth="9.140625" defaultRowHeight="15.75"/>
  <cols>
    <col min="1" max="1" width="6.140625" style="762" customWidth="1"/>
    <col min="2" max="2" width="93.140625" style="762" customWidth="1"/>
    <col min="3" max="16384" width="9.140625" style="762"/>
  </cols>
  <sheetData>
    <row r="1" spans="1:2" ht="16.5" thickBot="1">
      <c r="A1" s="1748" t="s">
        <v>2664</v>
      </c>
      <c r="B1" s="1749"/>
    </row>
    <row r="2" spans="1:2">
      <c r="A2" s="1750" t="s">
        <v>2548</v>
      </c>
      <c r="B2" s="1750"/>
    </row>
    <row r="3" spans="1:2">
      <c r="A3" s="774">
        <v>1</v>
      </c>
      <c r="B3" s="774" t="s">
        <v>2665</v>
      </c>
    </row>
    <row r="4" spans="1:2">
      <c r="A4" s="774"/>
      <c r="B4" s="774"/>
    </row>
    <row r="5" spans="1:2">
      <c r="A5" s="1676" t="s">
        <v>2550</v>
      </c>
      <c r="B5" s="1676"/>
    </row>
    <row r="6" spans="1:2" ht="27.75" customHeight="1">
      <c r="A6" s="774" t="s">
        <v>2678</v>
      </c>
      <c r="B6" s="778" t="s">
        <v>2666</v>
      </c>
    </row>
    <row r="7" spans="1:2" ht="27.75" customHeight="1">
      <c r="A7" s="774" t="s">
        <v>2679</v>
      </c>
      <c r="B7" s="778" t="s">
        <v>2667</v>
      </c>
    </row>
    <row r="8" spans="1:2" ht="27.75" customHeight="1">
      <c r="A8" s="774" t="s">
        <v>2680</v>
      </c>
      <c r="B8" s="778" t="s">
        <v>372</v>
      </c>
    </row>
    <row r="9" spans="1:2" ht="27.75" customHeight="1">
      <c r="A9" s="774" t="s">
        <v>2681</v>
      </c>
      <c r="B9" s="778" t="s">
        <v>2668</v>
      </c>
    </row>
    <row r="10" spans="1:2" ht="63">
      <c r="A10" s="774">
        <v>1</v>
      </c>
      <c r="B10" s="782" t="s">
        <v>2669</v>
      </c>
    </row>
    <row r="11" spans="1:2" ht="31.5">
      <c r="A11" s="774">
        <f t="shared" ref="A11:A24" si="0">+A10+1</f>
        <v>2</v>
      </c>
      <c r="B11" s="776" t="s">
        <v>2616</v>
      </c>
    </row>
    <row r="12" spans="1:2" ht="47.25">
      <c r="A12" s="774">
        <f t="shared" si="0"/>
        <v>3</v>
      </c>
      <c r="B12" s="782" t="s">
        <v>2595</v>
      </c>
    </row>
    <row r="13" spans="1:2" ht="47.25">
      <c r="A13" s="774">
        <f t="shared" si="0"/>
        <v>4</v>
      </c>
      <c r="B13" s="782" t="s">
        <v>2670</v>
      </c>
    </row>
    <row r="14" spans="1:2" ht="78.75">
      <c r="A14" s="774">
        <f t="shared" si="0"/>
        <v>5</v>
      </c>
      <c r="B14" s="782" t="s">
        <v>2671</v>
      </c>
    </row>
    <row r="15" spans="1:2" ht="78.75">
      <c r="A15" s="774">
        <f t="shared" si="0"/>
        <v>6</v>
      </c>
      <c r="B15" s="780" t="s">
        <v>2672</v>
      </c>
    </row>
    <row r="16" spans="1:2" ht="126">
      <c r="A16" s="774">
        <f t="shared" si="0"/>
        <v>7</v>
      </c>
      <c r="B16" s="780" t="s">
        <v>2673</v>
      </c>
    </row>
    <row r="17" spans="1:2" ht="31.5">
      <c r="A17" s="774">
        <f t="shared" si="0"/>
        <v>8</v>
      </c>
      <c r="B17" s="780" t="s">
        <v>2674</v>
      </c>
    </row>
    <row r="18" spans="1:2" ht="78.75">
      <c r="A18" s="774">
        <f t="shared" si="0"/>
        <v>9</v>
      </c>
      <c r="B18" s="780" t="s">
        <v>2577</v>
      </c>
    </row>
    <row r="19" spans="1:2" ht="78.75">
      <c r="A19" s="774">
        <f t="shared" si="0"/>
        <v>10</v>
      </c>
      <c r="B19" s="780" t="s">
        <v>2675</v>
      </c>
    </row>
    <row r="20" spans="1:2" ht="78.75">
      <c r="A20" s="774">
        <f t="shared" si="0"/>
        <v>11</v>
      </c>
      <c r="B20" s="780" t="s">
        <v>2676</v>
      </c>
    </row>
    <row r="21" spans="1:2" ht="47.25">
      <c r="A21" s="774">
        <f t="shared" si="0"/>
        <v>12</v>
      </c>
      <c r="B21" s="780" t="s">
        <v>2600</v>
      </c>
    </row>
    <row r="22" spans="1:2" ht="31.5" customHeight="1">
      <c r="A22" s="774">
        <f t="shared" si="0"/>
        <v>13</v>
      </c>
      <c r="B22" s="780" t="s">
        <v>2663</v>
      </c>
    </row>
    <row r="23" spans="1:2" ht="51" customHeight="1">
      <c r="A23" s="774">
        <f t="shared" si="0"/>
        <v>14</v>
      </c>
      <c r="B23" s="780" t="s">
        <v>2677</v>
      </c>
    </row>
    <row r="24" spans="1:2" ht="36" customHeight="1">
      <c r="A24" s="774">
        <f t="shared" si="0"/>
        <v>15</v>
      </c>
      <c r="B24" s="780" t="s">
        <v>2602</v>
      </c>
    </row>
  </sheetData>
  <mergeCells count="3">
    <mergeCell ref="A1:B1"/>
    <mergeCell ref="A2:B2"/>
    <mergeCell ref="A5:B5"/>
  </mergeCells>
  <pageMargins left="0.7" right="0.7" top="0.75" bottom="0.75" header="0.3" footer="0.3"/>
</worksheet>
</file>

<file path=xl/worksheets/sheet45.xml><?xml version="1.0" encoding="utf-8"?>
<worksheet xmlns="http://schemas.openxmlformats.org/spreadsheetml/2006/main" xmlns:r="http://schemas.openxmlformats.org/officeDocument/2006/relationships">
  <dimension ref="A1:B24"/>
  <sheetViews>
    <sheetView zoomScale="75" zoomScaleNormal="75" workbookViewId="0">
      <selection sqref="A1:B1"/>
    </sheetView>
  </sheetViews>
  <sheetFormatPr defaultColWidth="9.140625" defaultRowHeight="15.75"/>
  <cols>
    <col min="1" max="1" width="6.140625" style="762" customWidth="1"/>
    <col min="2" max="2" width="89.7109375" style="762" customWidth="1"/>
    <col min="3" max="16384" width="9.140625" style="762"/>
  </cols>
  <sheetData>
    <row r="1" spans="1:2" ht="16.5" thickBot="1">
      <c r="A1" s="1748" t="s">
        <v>2692</v>
      </c>
      <c r="B1" s="1749"/>
    </row>
    <row r="2" spans="1:2">
      <c r="A2" s="1750" t="s">
        <v>2548</v>
      </c>
      <c r="B2" s="1750"/>
    </row>
    <row r="3" spans="1:2" ht="31.5">
      <c r="A3" s="774">
        <v>1</v>
      </c>
      <c r="B3" s="775" t="s">
        <v>2682</v>
      </c>
    </row>
    <row r="4" spans="1:2">
      <c r="A4" s="774"/>
      <c r="B4" s="774"/>
    </row>
    <row r="5" spans="1:2">
      <c r="A5" s="1676" t="s">
        <v>2550</v>
      </c>
      <c r="B5" s="1676"/>
    </row>
    <row r="6" spans="1:2">
      <c r="A6" s="774">
        <v>1</v>
      </c>
      <c r="B6" s="778" t="s">
        <v>2683</v>
      </c>
    </row>
    <row r="7" spans="1:2" ht="47.25">
      <c r="A7" s="774">
        <f>+A6+1</f>
        <v>2</v>
      </c>
      <c r="B7" s="782" t="s">
        <v>2684</v>
      </c>
    </row>
    <row r="8" spans="1:2" ht="31.5">
      <c r="A8" s="774"/>
      <c r="B8" s="782" t="s">
        <v>2685</v>
      </c>
    </row>
    <row r="9" spans="1:2" ht="63">
      <c r="A9" s="774">
        <v>3</v>
      </c>
      <c r="B9" s="782" t="s">
        <v>2686</v>
      </c>
    </row>
    <row r="10" spans="1:2" ht="31.5">
      <c r="A10" s="774">
        <f t="shared" ref="A10:A17" si="0">+A9+1</f>
        <v>4</v>
      </c>
      <c r="B10" s="782" t="s">
        <v>2616</v>
      </c>
    </row>
    <row r="11" spans="1:2" ht="47.25">
      <c r="A11" s="774">
        <f t="shared" si="0"/>
        <v>5</v>
      </c>
      <c r="B11" s="782" t="s">
        <v>2595</v>
      </c>
    </row>
    <row r="12" spans="1:2" ht="47.25">
      <c r="A12" s="774">
        <f t="shared" si="0"/>
        <v>6</v>
      </c>
      <c r="B12" s="782" t="s">
        <v>2687</v>
      </c>
    </row>
    <row r="13" spans="1:2" ht="78.75">
      <c r="A13" s="774">
        <f t="shared" si="0"/>
        <v>7</v>
      </c>
      <c r="B13" s="782" t="s">
        <v>2688</v>
      </c>
    </row>
    <row r="14" spans="1:2" ht="126">
      <c r="A14" s="774">
        <f t="shared" si="0"/>
        <v>8</v>
      </c>
      <c r="B14" s="782" t="s">
        <v>2673</v>
      </c>
    </row>
    <row r="15" spans="1:2" ht="47.25">
      <c r="A15" s="774">
        <f t="shared" si="0"/>
        <v>9</v>
      </c>
      <c r="B15" s="782" t="s">
        <v>2674</v>
      </c>
    </row>
    <row r="16" spans="1:2" ht="31.5">
      <c r="A16" s="774">
        <f t="shared" si="0"/>
        <v>10</v>
      </c>
      <c r="B16" s="782" t="s">
        <v>2601</v>
      </c>
    </row>
    <row r="17" spans="1:2" ht="47.25">
      <c r="A17" s="774">
        <f t="shared" si="0"/>
        <v>11</v>
      </c>
      <c r="B17" s="782" t="s">
        <v>2602</v>
      </c>
    </row>
    <row r="18" spans="1:2">
      <c r="A18" s="774"/>
      <c r="B18" s="782" t="s">
        <v>2689</v>
      </c>
    </row>
    <row r="19" spans="1:2" ht="94.5">
      <c r="A19" s="774">
        <v>12</v>
      </c>
      <c r="B19" s="782" t="s">
        <v>2690</v>
      </c>
    </row>
    <row r="20" spans="1:2" ht="78.75">
      <c r="A20" s="774">
        <f>+A19+1</f>
        <v>13</v>
      </c>
      <c r="B20" s="782" t="s">
        <v>2577</v>
      </c>
    </row>
    <row r="21" spans="1:2" ht="94.5">
      <c r="A21" s="774">
        <f>+A20+1</f>
        <v>14</v>
      </c>
      <c r="B21" s="782" t="s">
        <v>2675</v>
      </c>
    </row>
    <row r="22" spans="1:2" ht="110.25">
      <c r="A22" s="774">
        <f>+A21+1</f>
        <v>15</v>
      </c>
      <c r="B22" s="782" t="s">
        <v>2691</v>
      </c>
    </row>
    <row r="23" spans="1:2" ht="47.25">
      <c r="A23" s="774">
        <f>+A22+1</f>
        <v>16</v>
      </c>
      <c r="B23" s="782" t="s">
        <v>2600</v>
      </c>
    </row>
    <row r="24" spans="1:2" ht="47.25">
      <c r="A24" s="774">
        <f>+A23+1</f>
        <v>17</v>
      </c>
      <c r="B24" s="782" t="s">
        <v>2677</v>
      </c>
    </row>
  </sheetData>
  <mergeCells count="3">
    <mergeCell ref="A1:B1"/>
    <mergeCell ref="A2:B2"/>
    <mergeCell ref="A5:B5"/>
  </mergeCells>
  <pageMargins left="0.7" right="0.7" top="0.75" bottom="0.75" header="0.3" footer="0.3"/>
  <pageSetup paperSize="5" orientation="portrait" r:id="rId1"/>
</worksheet>
</file>

<file path=xl/worksheets/sheet46.xml><?xml version="1.0" encoding="utf-8"?>
<worksheet xmlns="http://schemas.openxmlformats.org/spreadsheetml/2006/main" xmlns:r="http://schemas.openxmlformats.org/officeDocument/2006/relationships">
  <dimension ref="A1:B62"/>
  <sheetViews>
    <sheetView zoomScale="75" zoomScaleNormal="75" workbookViewId="0">
      <selection activeCell="L11" sqref="L11"/>
    </sheetView>
  </sheetViews>
  <sheetFormatPr defaultColWidth="9.140625" defaultRowHeight="15.75"/>
  <cols>
    <col min="1" max="1" width="9.140625" style="762"/>
    <col min="2" max="2" width="90.5703125" style="762" customWidth="1"/>
    <col min="3" max="16384" width="9.140625" style="762"/>
  </cols>
  <sheetData>
    <row r="1" spans="1:2" ht="16.5" thickBot="1">
      <c r="A1" s="1748" t="s">
        <v>2692</v>
      </c>
      <c r="B1" s="1749"/>
    </row>
    <row r="2" spans="1:2">
      <c r="A2" s="1750" t="s">
        <v>2548</v>
      </c>
      <c r="B2" s="1750"/>
    </row>
    <row r="3" spans="1:2" ht="39" customHeight="1">
      <c r="A3" s="774">
        <v>1</v>
      </c>
      <c r="B3" s="775" t="s">
        <v>2682</v>
      </c>
    </row>
    <row r="4" spans="1:2">
      <c r="A4" s="774"/>
      <c r="B4" s="774"/>
    </row>
    <row r="5" spans="1:2">
      <c r="A5" s="1676" t="s">
        <v>2550</v>
      </c>
      <c r="B5" s="1676"/>
    </row>
    <row r="6" spans="1:2">
      <c r="A6" s="788" t="s">
        <v>2678</v>
      </c>
      <c r="B6" s="808" t="s">
        <v>2694</v>
      </c>
    </row>
    <row r="7" spans="1:2" ht="47.25">
      <c r="A7" s="788">
        <v>1</v>
      </c>
      <c r="B7" s="783" t="s">
        <v>2693</v>
      </c>
    </row>
    <row r="8" spans="1:2" ht="31.5">
      <c r="A8" s="788" t="s">
        <v>2679</v>
      </c>
      <c r="B8" s="783" t="s">
        <v>2695</v>
      </c>
    </row>
    <row r="9" spans="1:2" ht="47.25">
      <c r="A9" s="788">
        <v>1</v>
      </c>
      <c r="B9" s="783" t="s">
        <v>2686</v>
      </c>
    </row>
    <row r="10" spans="1:2" ht="94.5">
      <c r="A10" s="788">
        <v>2</v>
      </c>
      <c r="B10" s="783" t="s">
        <v>2690</v>
      </c>
    </row>
    <row r="11" spans="1:2" ht="47.25">
      <c r="A11" s="788">
        <v>3</v>
      </c>
      <c r="B11" s="782" t="s">
        <v>2595</v>
      </c>
    </row>
    <row r="12" spans="1:2" ht="47.25">
      <c r="A12" s="788">
        <v>4</v>
      </c>
      <c r="B12" s="782" t="s">
        <v>2687</v>
      </c>
    </row>
    <row r="13" spans="1:2" ht="31.5">
      <c r="A13" s="788">
        <v>5</v>
      </c>
      <c r="B13" s="782" t="s">
        <v>2616</v>
      </c>
    </row>
    <row r="14" spans="1:2" ht="78.75">
      <c r="A14" s="788">
        <v>6</v>
      </c>
      <c r="B14" s="782" t="s">
        <v>2688</v>
      </c>
    </row>
    <row r="15" spans="1:2" ht="63">
      <c r="A15" s="788">
        <v>7.1</v>
      </c>
      <c r="B15" s="782" t="s">
        <v>2698</v>
      </c>
    </row>
    <row r="16" spans="1:2" ht="47.25">
      <c r="A16" s="788">
        <v>7.2</v>
      </c>
      <c r="B16" s="783" t="s">
        <v>2696</v>
      </c>
    </row>
    <row r="17" spans="1:2" s="770" customFormat="1" ht="63">
      <c r="A17" s="788">
        <v>7.3</v>
      </c>
      <c r="B17" s="780" t="s">
        <v>2697</v>
      </c>
    </row>
    <row r="18" spans="1:2" ht="31.5">
      <c r="A18" s="788">
        <v>8</v>
      </c>
      <c r="B18" s="782" t="s">
        <v>2674</v>
      </c>
    </row>
    <row r="19" spans="1:2" ht="78.75">
      <c r="A19" s="788">
        <v>9</v>
      </c>
      <c r="B19" s="782" t="s">
        <v>2577</v>
      </c>
    </row>
    <row r="20" spans="1:2" ht="94.5">
      <c r="A20" s="788">
        <v>10</v>
      </c>
      <c r="B20" s="782" t="s">
        <v>2675</v>
      </c>
    </row>
    <row r="21" spans="1:2" ht="47.25">
      <c r="A21" s="788">
        <v>11</v>
      </c>
      <c r="B21" s="782" t="s">
        <v>2600</v>
      </c>
    </row>
    <row r="22" spans="1:2" ht="31.5">
      <c r="A22" s="788">
        <v>12</v>
      </c>
      <c r="B22" s="782" t="s">
        <v>2601</v>
      </c>
    </row>
    <row r="23" spans="1:2" ht="47.25">
      <c r="A23" s="788">
        <v>13</v>
      </c>
      <c r="B23" s="782" t="s">
        <v>2677</v>
      </c>
    </row>
    <row r="24" spans="1:2" ht="47.25">
      <c r="A24" s="788">
        <v>14</v>
      </c>
      <c r="B24" s="782" t="s">
        <v>2602</v>
      </c>
    </row>
    <row r="25" spans="1:2" ht="31.5">
      <c r="A25" s="788" t="s">
        <v>2680</v>
      </c>
      <c r="B25" s="806" t="s">
        <v>2699</v>
      </c>
    </row>
    <row r="26" spans="1:2">
      <c r="A26" s="788">
        <v>1</v>
      </c>
      <c r="B26" s="1660" t="s">
        <v>2712</v>
      </c>
    </row>
    <row r="27" spans="1:2">
      <c r="A27" s="788">
        <f>+A26+1</f>
        <v>2</v>
      </c>
      <c r="B27" s="1660"/>
    </row>
    <row r="28" spans="1:2" ht="34.5" customHeight="1">
      <c r="A28" s="788">
        <f t="shared" ref="A28:A44" si="0">+A27+1</f>
        <v>3</v>
      </c>
      <c r="B28" s="776" t="s">
        <v>2604</v>
      </c>
    </row>
    <row r="29" spans="1:2" ht="63">
      <c r="A29" s="788">
        <f t="shared" si="0"/>
        <v>4</v>
      </c>
      <c r="B29" s="776" t="s">
        <v>2553</v>
      </c>
    </row>
    <row r="30" spans="1:2" ht="31.5">
      <c r="A30" s="788">
        <f t="shared" si="0"/>
        <v>5</v>
      </c>
      <c r="B30" s="775" t="s">
        <v>2700</v>
      </c>
    </row>
    <row r="31" spans="1:2" ht="47.25">
      <c r="A31" s="788">
        <f t="shared" si="0"/>
        <v>6</v>
      </c>
      <c r="B31" s="775" t="s">
        <v>2701</v>
      </c>
    </row>
    <row r="32" spans="1:2" ht="31.5">
      <c r="A32" s="788">
        <f t="shared" si="0"/>
        <v>7</v>
      </c>
      <c r="B32" s="780" t="s">
        <v>2557</v>
      </c>
    </row>
    <row r="33" spans="1:2" ht="47.25">
      <c r="A33" s="788">
        <f t="shared" si="0"/>
        <v>8</v>
      </c>
      <c r="B33" s="780" t="s">
        <v>2626</v>
      </c>
    </row>
    <row r="34" spans="1:2" ht="47.25">
      <c r="A34" s="788">
        <f t="shared" si="0"/>
        <v>9</v>
      </c>
      <c r="B34" s="785" t="s">
        <v>2709</v>
      </c>
    </row>
    <row r="35" spans="1:2" ht="78.75">
      <c r="A35" s="788">
        <f t="shared" si="0"/>
        <v>10</v>
      </c>
      <c r="B35" s="785" t="s">
        <v>2710</v>
      </c>
    </row>
    <row r="36" spans="1:2" ht="47.25">
      <c r="A36" s="788">
        <f t="shared" si="0"/>
        <v>11</v>
      </c>
      <c r="B36" s="785" t="s">
        <v>2711</v>
      </c>
    </row>
    <row r="37" spans="1:2" ht="47.25">
      <c r="A37" s="788">
        <f t="shared" si="0"/>
        <v>12</v>
      </c>
      <c r="B37" s="785" t="s">
        <v>2708</v>
      </c>
    </row>
    <row r="38" spans="1:2" ht="47.25">
      <c r="A38" s="788">
        <f t="shared" si="0"/>
        <v>13</v>
      </c>
      <c r="B38" s="782" t="s">
        <v>2707</v>
      </c>
    </row>
    <row r="39" spans="1:2" ht="47.25">
      <c r="A39" s="788">
        <f t="shared" si="0"/>
        <v>14</v>
      </c>
      <c r="B39" s="785" t="s">
        <v>2706</v>
      </c>
    </row>
    <row r="40" spans="1:2" ht="63">
      <c r="A40" s="788">
        <f t="shared" si="0"/>
        <v>15</v>
      </c>
      <c r="B40" s="780" t="s">
        <v>2705</v>
      </c>
    </row>
    <row r="41" spans="1:2" ht="63">
      <c r="A41" s="788">
        <f t="shared" si="0"/>
        <v>16</v>
      </c>
      <c r="B41" s="782" t="s">
        <v>2703</v>
      </c>
    </row>
    <row r="42" spans="1:2" ht="47.25">
      <c r="A42" s="788">
        <f t="shared" si="0"/>
        <v>17</v>
      </c>
      <c r="B42" s="782" t="s">
        <v>2704</v>
      </c>
    </row>
    <row r="43" spans="1:2" ht="78.75">
      <c r="A43" s="788">
        <f t="shared" si="0"/>
        <v>18</v>
      </c>
      <c r="B43" s="783" t="s">
        <v>2702</v>
      </c>
    </row>
    <row r="44" spans="1:2" ht="47.25">
      <c r="A44" s="788">
        <f t="shared" si="0"/>
        <v>19</v>
      </c>
      <c r="B44" s="783" t="s">
        <v>2658</v>
      </c>
    </row>
    <row r="45" spans="1:2" ht="20.100000000000001" customHeight="1"/>
    <row r="47" spans="1:2" ht="20.100000000000001" customHeight="1"/>
    <row r="48" spans="1:2"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sheetData>
  <mergeCells count="4">
    <mergeCell ref="A1:B1"/>
    <mergeCell ref="A2:B2"/>
    <mergeCell ref="A5:B5"/>
    <mergeCell ref="B26:B27"/>
  </mergeCells>
  <pageMargins left="0.7" right="0.7" top="0.75" bottom="0.75" header="0.3" footer="0.3"/>
  <pageSetup paperSize="5" orientation="portrait" r:id="rId1"/>
</worksheet>
</file>

<file path=xl/worksheets/sheet47.xml><?xml version="1.0" encoding="utf-8"?>
<worksheet xmlns="http://schemas.openxmlformats.org/spreadsheetml/2006/main" xmlns:r="http://schemas.openxmlformats.org/officeDocument/2006/relationships">
  <dimension ref="L15:P24"/>
  <sheetViews>
    <sheetView workbookViewId="0">
      <selection activeCell="P25" sqref="P25"/>
    </sheetView>
  </sheetViews>
  <sheetFormatPr defaultRowHeight="15"/>
  <sheetData>
    <row r="15" spans="12:16">
      <c r="L15">
        <v>44.44</v>
      </c>
      <c r="N15">
        <v>74.319999999999993</v>
      </c>
    </row>
    <row r="16" spans="12:16">
      <c r="L16">
        <v>15.67</v>
      </c>
      <c r="N16">
        <v>17.53</v>
      </c>
      <c r="P16">
        <v>15.67</v>
      </c>
    </row>
    <row r="17" spans="12:16">
      <c r="L17">
        <v>10</v>
      </c>
      <c r="N17">
        <v>8.15</v>
      </c>
      <c r="P17">
        <v>11.61</v>
      </c>
    </row>
    <row r="18" spans="12:16">
      <c r="L18">
        <v>9.41</v>
      </c>
      <c r="P18">
        <v>5.66</v>
      </c>
    </row>
    <row r="19" spans="12:16">
      <c r="L19">
        <v>5.66</v>
      </c>
      <c r="N19">
        <f>N15+N16+N17</f>
        <v>100</v>
      </c>
      <c r="P19">
        <v>2.41</v>
      </c>
    </row>
    <row r="20" spans="12:16">
      <c r="P20">
        <v>1.1399999999999999</v>
      </c>
    </row>
    <row r="21" spans="12:16">
      <c r="L21">
        <f>L15+L16+L17+L18+L19</f>
        <v>85.179999999999993</v>
      </c>
      <c r="P21">
        <v>0.9</v>
      </c>
    </row>
    <row r="22" spans="12:16">
      <c r="P22">
        <v>0.3</v>
      </c>
    </row>
    <row r="24" spans="12:16">
      <c r="P24">
        <f>P16+P17+P18+P19+P20+P21+P22</f>
        <v>37.689999999999991</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sheetPr filterMode="1"/>
  <dimension ref="A1:J98"/>
  <sheetViews>
    <sheetView workbookViewId="0">
      <selection activeCell="E5" sqref="E5"/>
    </sheetView>
  </sheetViews>
  <sheetFormatPr defaultRowHeight="15"/>
  <cols>
    <col min="1" max="1" width="6.85546875" bestFit="1" customWidth="1"/>
    <col min="2" max="2" width="26.140625" style="144" customWidth="1"/>
    <col min="3" max="3" width="10.7109375" customWidth="1"/>
    <col min="4" max="4" width="59" style="144" customWidth="1"/>
    <col min="5" max="5" width="20.5703125" bestFit="1" customWidth="1"/>
    <col min="6" max="8" width="20.5703125" style="394" customWidth="1"/>
    <col min="9" max="9" width="26.28515625" customWidth="1"/>
    <col min="10" max="10" width="21.85546875" bestFit="1" customWidth="1"/>
  </cols>
  <sheetData>
    <row r="1" spans="1:10" ht="32.25" thickBot="1">
      <c r="A1" s="1069" t="s">
        <v>2868</v>
      </c>
      <c r="B1" s="1009" t="s">
        <v>2925</v>
      </c>
      <c r="C1" s="1009" t="s">
        <v>2914</v>
      </c>
      <c r="D1" s="1009" t="s">
        <v>2408</v>
      </c>
      <c r="E1" s="1070" t="s">
        <v>2978</v>
      </c>
      <c r="F1" s="1094" t="s">
        <v>3138</v>
      </c>
      <c r="G1" s="1094" t="s">
        <v>3139</v>
      </c>
      <c r="H1" s="1094" t="s">
        <v>3140</v>
      </c>
      <c r="I1" s="1042" t="s">
        <v>2959</v>
      </c>
      <c r="J1" s="1071" t="s">
        <v>2977</v>
      </c>
    </row>
    <row r="2" spans="1:10" ht="30" hidden="1">
      <c r="A2" s="1045">
        <v>1</v>
      </c>
      <c r="B2" s="1051" t="s">
        <v>2979</v>
      </c>
      <c r="C2" s="1046"/>
      <c r="D2" s="1051" t="s">
        <v>2980</v>
      </c>
      <c r="E2" s="1073">
        <v>10085860</v>
      </c>
      <c r="F2" s="1095"/>
      <c r="G2" s="1095"/>
      <c r="H2" s="1095"/>
      <c r="I2" s="1074">
        <f>E2</f>
        <v>10085860</v>
      </c>
      <c r="J2" s="55"/>
    </row>
    <row r="3" spans="1:10" ht="15.75" hidden="1">
      <c r="A3" s="1045">
        <v>2</v>
      </c>
      <c r="B3" s="1051" t="s">
        <v>2981</v>
      </c>
      <c r="C3" s="1046"/>
      <c r="D3" s="1051" t="s">
        <v>2982</v>
      </c>
      <c r="E3" s="1073">
        <v>5845326</v>
      </c>
      <c r="F3" s="1095"/>
      <c r="G3" s="1095"/>
      <c r="H3" s="1095"/>
      <c r="I3" s="1074">
        <f>E3</f>
        <v>5845326</v>
      </c>
      <c r="J3" s="55"/>
    </row>
    <row r="4" spans="1:10" ht="30" hidden="1">
      <c r="A4" s="1045">
        <v>3</v>
      </c>
      <c r="B4" s="1055" t="s">
        <v>2983</v>
      </c>
      <c r="C4" s="1046"/>
      <c r="D4" s="1052" t="s">
        <v>2984</v>
      </c>
      <c r="E4" s="1073">
        <v>2544670</v>
      </c>
      <c r="F4" s="1095"/>
      <c r="G4" s="1095"/>
      <c r="H4" s="1095"/>
      <c r="I4" s="1074">
        <f>E4</f>
        <v>2544670</v>
      </c>
      <c r="J4" s="55"/>
    </row>
    <row r="5" spans="1:10" ht="15.75">
      <c r="A5" s="1045">
        <v>4</v>
      </c>
      <c r="B5" s="1054" t="s">
        <v>2985</v>
      </c>
      <c r="C5" s="1046"/>
      <c r="D5" s="1054" t="s">
        <v>2986</v>
      </c>
      <c r="E5" s="1053">
        <v>3951610</v>
      </c>
      <c r="F5" s="1095"/>
      <c r="G5" s="1095"/>
      <c r="H5" s="1095"/>
      <c r="I5" s="1074">
        <v>0</v>
      </c>
      <c r="J5" s="1093">
        <f>+E5+F5+G5+H5</f>
        <v>3951610</v>
      </c>
    </row>
    <row r="6" spans="1:10" ht="15.75" hidden="1">
      <c r="A6" s="1045">
        <v>5</v>
      </c>
      <c r="B6" s="1055" t="s">
        <v>2987</v>
      </c>
      <c r="C6" s="1046"/>
      <c r="D6" s="1055" t="s">
        <v>2988</v>
      </c>
      <c r="E6" s="1073">
        <v>4896425</v>
      </c>
      <c r="F6" s="1095"/>
      <c r="G6" s="1095"/>
      <c r="H6" s="1095"/>
      <c r="I6" s="1074">
        <f>E6</f>
        <v>4896425</v>
      </c>
      <c r="J6" s="55"/>
    </row>
    <row r="7" spans="1:10" ht="15.75" hidden="1">
      <c r="A7" s="1045">
        <v>6</v>
      </c>
      <c r="B7" s="1051" t="s">
        <v>2989</v>
      </c>
      <c r="C7" s="1046"/>
      <c r="D7" s="1051" t="s">
        <v>2990</v>
      </c>
      <c r="E7" s="1073">
        <v>4934145</v>
      </c>
      <c r="F7" s="1095"/>
      <c r="G7" s="1095"/>
      <c r="H7" s="1095"/>
      <c r="I7" s="1074">
        <f>E7</f>
        <v>4934145</v>
      </c>
      <c r="J7" s="55"/>
    </row>
    <row r="8" spans="1:10" ht="30">
      <c r="A8" s="1045">
        <v>7</v>
      </c>
      <c r="B8" s="1054" t="s">
        <v>2991</v>
      </c>
      <c r="C8" s="1046"/>
      <c r="D8" s="1054" t="s">
        <v>2992</v>
      </c>
      <c r="E8" s="1053">
        <v>1180208</v>
      </c>
      <c r="F8" s="1095">
        <v>1808674.3716046035</v>
      </c>
      <c r="G8" s="1095">
        <v>200000</v>
      </c>
      <c r="H8" s="1095">
        <v>100000</v>
      </c>
      <c r="I8" s="1074">
        <v>0</v>
      </c>
      <c r="J8" s="1093">
        <f>+E8+F8+G8+H8</f>
        <v>3288882.3716046037</v>
      </c>
    </row>
    <row r="9" spans="1:10" ht="15.75" hidden="1">
      <c r="A9" s="1045">
        <v>8</v>
      </c>
      <c r="B9" s="1057" t="s">
        <v>2993</v>
      </c>
      <c r="C9" s="1046"/>
      <c r="D9" s="1057" t="s">
        <v>2994</v>
      </c>
      <c r="E9" s="1073">
        <v>3991373.4124017637</v>
      </c>
      <c r="F9" s="1095"/>
      <c r="G9" s="1095"/>
      <c r="H9" s="1095"/>
      <c r="I9" s="1074">
        <f>E9</f>
        <v>3991373.4124017637</v>
      </c>
      <c r="J9" s="55"/>
    </row>
    <row r="10" spans="1:10" ht="15.75" hidden="1">
      <c r="A10" s="1045">
        <v>9</v>
      </c>
      <c r="B10" s="1055" t="s">
        <v>2995</v>
      </c>
      <c r="C10" s="1046"/>
      <c r="D10" s="1055" t="s">
        <v>2996</v>
      </c>
      <c r="E10" s="1073">
        <v>3928012.205882383</v>
      </c>
      <c r="F10" s="1095"/>
      <c r="G10" s="1095"/>
      <c r="H10" s="1095"/>
      <c r="I10" s="1074">
        <f>E10</f>
        <v>3928012.205882383</v>
      </c>
      <c r="J10" s="55"/>
    </row>
    <row r="11" spans="1:10" ht="15.75">
      <c r="A11" s="1045">
        <v>10</v>
      </c>
      <c r="B11" s="1054" t="s">
        <v>2997</v>
      </c>
      <c r="C11" s="1046"/>
      <c r="D11" s="1054" t="s">
        <v>2998</v>
      </c>
      <c r="E11" s="1053">
        <v>1550000</v>
      </c>
      <c r="F11" s="1095">
        <v>2141373.4124017637</v>
      </c>
      <c r="G11" s="1095">
        <v>200000</v>
      </c>
      <c r="H11" s="1095">
        <v>100000</v>
      </c>
      <c r="I11" s="1074">
        <v>0</v>
      </c>
      <c r="J11" s="1093">
        <f>+E11+F11+G11+H11</f>
        <v>3991373.4124017637</v>
      </c>
    </row>
    <row r="12" spans="1:10" ht="30" hidden="1">
      <c r="A12" s="1045">
        <v>11</v>
      </c>
      <c r="B12" s="1087" t="s">
        <v>2999</v>
      </c>
      <c r="C12" s="1046"/>
      <c r="D12" s="1057" t="s">
        <v>3000</v>
      </c>
      <c r="E12" s="1073" t="e">
        <v>#VALUE!</v>
      </c>
      <c r="F12" s="1095"/>
      <c r="G12" s="1095"/>
      <c r="H12" s="1095"/>
      <c r="I12" s="1074" t="e">
        <f t="shared" ref="I12:I17" si="0">E12</f>
        <v>#VALUE!</v>
      </c>
      <c r="J12" s="55"/>
    </row>
    <row r="13" spans="1:10" ht="30" hidden="1">
      <c r="A13" s="1045">
        <v>12</v>
      </c>
      <c r="B13" s="1055" t="s">
        <v>3001</v>
      </c>
      <c r="C13" s="1046"/>
      <c r="D13" s="1055" t="s">
        <v>3002</v>
      </c>
      <c r="E13" s="1073">
        <v>6357398.1172897629</v>
      </c>
      <c r="F13" s="1095"/>
      <c r="G13" s="1095"/>
      <c r="H13" s="1095"/>
      <c r="I13" s="1074">
        <f t="shared" si="0"/>
        <v>6357398.1172897629</v>
      </c>
      <c r="J13" s="55"/>
    </row>
    <row r="14" spans="1:10" ht="15.75" hidden="1">
      <c r="A14" s="1045">
        <v>13</v>
      </c>
      <c r="B14" s="1055" t="s">
        <v>3003</v>
      </c>
      <c r="C14" s="1046"/>
      <c r="D14" s="1055" t="s">
        <v>3004</v>
      </c>
      <c r="E14" s="1073">
        <v>7919313.5229269173</v>
      </c>
      <c r="F14" s="1095"/>
      <c r="G14" s="1095"/>
      <c r="H14" s="1095"/>
      <c r="I14" s="1074">
        <f t="shared" si="0"/>
        <v>7919313.5229269173</v>
      </c>
      <c r="J14" s="55"/>
    </row>
    <row r="15" spans="1:10" ht="15.75" hidden="1">
      <c r="A15" s="1045">
        <v>14</v>
      </c>
      <c r="B15" s="1057" t="s">
        <v>3005</v>
      </c>
      <c r="C15" s="1046"/>
      <c r="D15" s="1057" t="s">
        <v>3006</v>
      </c>
      <c r="E15" s="1073">
        <v>12147970.4525101</v>
      </c>
      <c r="F15" s="1095"/>
      <c r="G15" s="1095"/>
      <c r="H15" s="1095"/>
      <c r="I15" s="1074">
        <f t="shared" si="0"/>
        <v>12147970.4525101</v>
      </c>
      <c r="J15" s="55"/>
    </row>
    <row r="16" spans="1:10" ht="15.75" hidden="1">
      <c r="A16" s="1045">
        <v>15</v>
      </c>
      <c r="B16" s="1055" t="s">
        <v>3007</v>
      </c>
      <c r="C16" s="1046"/>
      <c r="D16" s="1055" t="s">
        <v>3008</v>
      </c>
      <c r="E16" s="1073">
        <v>8385476.3403035365</v>
      </c>
      <c r="F16" s="1095"/>
      <c r="G16" s="1095"/>
      <c r="H16" s="1095"/>
      <c r="I16" s="1074">
        <f t="shared" si="0"/>
        <v>8385476.3403035365</v>
      </c>
      <c r="J16" s="55"/>
    </row>
    <row r="17" spans="1:10" ht="30" hidden="1">
      <c r="A17" s="1045">
        <v>16</v>
      </c>
      <c r="B17" s="1051" t="s">
        <v>3009</v>
      </c>
      <c r="C17" s="1046"/>
      <c r="D17" s="1051" t="s">
        <v>3010</v>
      </c>
      <c r="E17" s="1073">
        <v>3487925.351937348</v>
      </c>
      <c r="F17" s="1095"/>
      <c r="G17" s="1095"/>
      <c r="H17" s="1095"/>
      <c r="I17" s="1074">
        <f t="shared" si="0"/>
        <v>3487925.351937348</v>
      </c>
      <c r="J17" s="55"/>
    </row>
    <row r="18" spans="1:10" ht="15.75">
      <c r="A18" s="1045">
        <v>17</v>
      </c>
      <c r="B18" s="1054" t="s">
        <v>3011</v>
      </c>
      <c r="C18" s="1046"/>
      <c r="D18" s="1054" t="s">
        <v>3012</v>
      </c>
      <c r="E18" s="1053">
        <v>1500000</v>
      </c>
      <c r="F18" s="1095">
        <v>2128012.205882383</v>
      </c>
      <c r="G18" s="1095">
        <v>200000</v>
      </c>
      <c r="H18" s="1095">
        <v>100000</v>
      </c>
      <c r="I18" s="1074">
        <v>0</v>
      </c>
      <c r="J18" s="1093">
        <f>+E18+F18+G18+H18</f>
        <v>3928012.205882383</v>
      </c>
    </row>
    <row r="19" spans="1:10" ht="15.75">
      <c r="A19" s="1045">
        <v>18</v>
      </c>
      <c r="B19" s="1054" t="s">
        <v>3013</v>
      </c>
      <c r="C19" s="1046"/>
      <c r="D19" s="1054" t="s">
        <v>3014</v>
      </c>
      <c r="E19" s="1053">
        <v>2300000</v>
      </c>
      <c r="F19" s="1095">
        <v>3524760.9359456873</v>
      </c>
      <c r="G19" s="1095">
        <v>200000</v>
      </c>
      <c r="H19" s="1095">
        <v>100000</v>
      </c>
      <c r="I19" s="1074">
        <v>0</v>
      </c>
      <c r="J19" s="1093">
        <f>+E19+F19+G19+H19</f>
        <v>6124760.9359456878</v>
      </c>
    </row>
    <row r="20" spans="1:10" ht="15.75">
      <c r="A20" s="1045">
        <v>19</v>
      </c>
      <c r="B20" s="1054" t="s">
        <v>3015</v>
      </c>
      <c r="C20" s="1046"/>
      <c r="D20" s="1054" t="s">
        <v>3016</v>
      </c>
      <c r="E20" s="1053">
        <v>8350000</v>
      </c>
      <c r="F20" s="1095">
        <v>13115126.365392126</v>
      </c>
      <c r="G20" s="1095">
        <v>200000</v>
      </c>
      <c r="H20" s="1095">
        <v>100000</v>
      </c>
      <c r="I20" s="1074">
        <v>0</v>
      </c>
      <c r="J20" s="1093">
        <f>+E20+F20+G20+H20</f>
        <v>21765126.365392126</v>
      </c>
    </row>
    <row r="21" spans="1:10" ht="30">
      <c r="A21" s="1045">
        <v>20</v>
      </c>
      <c r="B21" s="1054" t="s">
        <v>3017</v>
      </c>
      <c r="C21" s="1046"/>
      <c r="D21" s="1054" t="s">
        <v>3018</v>
      </c>
      <c r="E21" s="1053">
        <v>2471191</v>
      </c>
      <c r="F21" s="1095">
        <v>3586207.1172897634</v>
      </c>
      <c r="G21" s="1095">
        <v>200000</v>
      </c>
      <c r="H21" s="1095">
        <v>100000</v>
      </c>
      <c r="I21" s="1074">
        <v>0</v>
      </c>
      <c r="J21" s="1093" t="e">
        <f>+#REF!+F21+G21+H21</f>
        <v>#REF!</v>
      </c>
    </row>
    <row r="22" spans="1:10" ht="30">
      <c r="A22" s="1045">
        <v>21</v>
      </c>
      <c r="B22" s="1054" t="s">
        <v>3019</v>
      </c>
      <c r="C22" s="1046"/>
      <c r="D22" s="1054" t="s">
        <v>3020</v>
      </c>
      <c r="E22" s="1053">
        <v>3013000</v>
      </c>
      <c r="F22" s="1095">
        <v>4606313.5229269173</v>
      </c>
      <c r="G22" s="1095">
        <v>200000</v>
      </c>
      <c r="H22" s="1095">
        <v>100000</v>
      </c>
      <c r="I22" s="1074">
        <v>0</v>
      </c>
      <c r="J22" s="1093">
        <f>+E21+F22+G22+H22</f>
        <v>7377504.5229269173</v>
      </c>
    </row>
    <row r="23" spans="1:10" ht="30">
      <c r="A23" s="1045">
        <v>22</v>
      </c>
      <c r="B23" s="1054" t="s">
        <v>3021</v>
      </c>
      <c r="C23" s="1046"/>
      <c r="D23" s="1054" t="s">
        <v>3022</v>
      </c>
      <c r="E23" s="1053">
        <v>4759572</v>
      </c>
      <c r="F23" s="1095">
        <v>7088398.4525101008</v>
      </c>
      <c r="G23" s="1095">
        <v>200000</v>
      </c>
      <c r="H23" s="1095">
        <v>100000</v>
      </c>
      <c r="I23" s="1074">
        <v>0</v>
      </c>
      <c r="J23" s="1093">
        <f>+E22+F23+G23+H23</f>
        <v>10401398.4525101</v>
      </c>
    </row>
    <row r="24" spans="1:10" ht="30" hidden="1">
      <c r="A24" s="1045">
        <v>23</v>
      </c>
      <c r="B24" s="1057" t="s">
        <v>3023</v>
      </c>
      <c r="C24" s="1046"/>
      <c r="D24" s="1057" t="s">
        <v>3024</v>
      </c>
      <c r="E24" s="1053">
        <v>4759572</v>
      </c>
      <c r="F24" s="1095">
        <v>7088398.4525101008</v>
      </c>
      <c r="G24" s="1095"/>
      <c r="H24" s="1095"/>
      <c r="I24" s="1074">
        <f>E24</f>
        <v>4759572</v>
      </c>
      <c r="J24" s="55"/>
    </row>
    <row r="25" spans="1:10" ht="15.75" hidden="1">
      <c r="A25" s="1045">
        <v>24</v>
      </c>
      <c r="B25" s="1057" t="s">
        <v>3025</v>
      </c>
      <c r="C25" s="1046"/>
      <c r="D25" s="1057" t="s">
        <v>3026</v>
      </c>
      <c r="E25" s="1073">
        <v>2279840</v>
      </c>
      <c r="F25" s="1095"/>
      <c r="G25" s="1095"/>
      <c r="H25" s="1095"/>
      <c r="I25" s="1074">
        <f>E25</f>
        <v>2279840</v>
      </c>
      <c r="J25" s="55"/>
    </row>
    <row r="26" spans="1:10" ht="15.75" hidden="1">
      <c r="A26" s="1045">
        <v>25</v>
      </c>
      <c r="B26" s="1051" t="s">
        <v>3027</v>
      </c>
      <c r="C26" s="1046"/>
      <c r="D26" s="1051" t="s">
        <v>3028</v>
      </c>
      <c r="E26" s="1073">
        <v>5985786</v>
      </c>
      <c r="F26" s="1095"/>
      <c r="G26" s="1095"/>
      <c r="H26" s="1095"/>
      <c r="I26" s="1074">
        <f>E26</f>
        <v>5985786</v>
      </c>
      <c r="J26" s="55"/>
    </row>
    <row r="27" spans="1:10" ht="15.75">
      <c r="A27" s="1045">
        <v>26</v>
      </c>
      <c r="B27" s="1054" t="s">
        <v>3029</v>
      </c>
      <c r="C27" s="1046"/>
      <c r="D27" s="1054" t="s">
        <v>3030</v>
      </c>
      <c r="E27" s="1053">
        <v>3500000</v>
      </c>
      <c r="F27" s="1095">
        <v>4585476.3403035365</v>
      </c>
      <c r="G27" s="1095">
        <v>200000</v>
      </c>
      <c r="H27" s="1095">
        <v>100000</v>
      </c>
      <c r="I27" s="1074">
        <v>0</v>
      </c>
      <c r="J27" s="1093">
        <f>+E27+F27+G27+H27</f>
        <v>8385476.3403035365</v>
      </c>
    </row>
    <row r="28" spans="1:10" ht="30">
      <c r="A28" s="1045">
        <v>27</v>
      </c>
      <c r="B28" s="1054" t="s">
        <v>3031</v>
      </c>
      <c r="C28" s="1046"/>
      <c r="D28" s="1054" t="s">
        <v>3032</v>
      </c>
      <c r="E28" s="1053">
        <v>1484568</v>
      </c>
      <c r="F28" s="1095">
        <v>1703357.3519373478</v>
      </c>
      <c r="G28" s="1095">
        <v>200000</v>
      </c>
      <c r="H28" s="1095">
        <v>100000</v>
      </c>
      <c r="I28" s="1074">
        <v>0</v>
      </c>
      <c r="J28" s="1093">
        <f>+E28+F28+G28+H28</f>
        <v>3487925.351937348</v>
      </c>
    </row>
    <row r="29" spans="1:10" ht="15.75">
      <c r="A29" s="1045">
        <v>28</v>
      </c>
      <c r="B29" s="1054" t="s">
        <v>3033</v>
      </c>
      <c r="C29" s="1046"/>
      <c r="D29" s="1054" t="s">
        <v>3034</v>
      </c>
      <c r="E29" s="1099">
        <v>2600000</v>
      </c>
      <c r="F29" s="1095">
        <v>3758602.9799010623</v>
      </c>
      <c r="G29" s="1095">
        <v>200000</v>
      </c>
      <c r="H29" s="1095">
        <v>100000</v>
      </c>
      <c r="I29" s="1074">
        <v>0</v>
      </c>
      <c r="J29" s="1093">
        <f>+E29+F29+G29+H29</f>
        <v>6658602.9799010623</v>
      </c>
    </row>
    <row r="30" spans="1:10" ht="30">
      <c r="A30" s="1045">
        <v>29</v>
      </c>
      <c r="B30" s="1054" t="s">
        <v>3035</v>
      </c>
      <c r="C30" s="1046"/>
      <c r="D30" s="1054" t="s">
        <v>3036</v>
      </c>
      <c r="E30" s="1099">
        <v>3217500</v>
      </c>
      <c r="F30" s="1095">
        <v>5078079.4970202679</v>
      </c>
      <c r="G30" s="1095">
        <v>200000</v>
      </c>
      <c r="H30" s="1095">
        <v>100000</v>
      </c>
      <c r="I30" s="1074">
        <v>0</v>
      </c>
      <c r="J30" s="1093">
        <f>+E30+F30+G30+H30</f>
        <v>8595579.497020267</v>
      </c>
    </row>
    <row r="31" spans="1:10" ht="15.75">
      <c r="A31" s="1045">
        <v>30</v>
      </c>
      <c r="B31" s="1054" t="s">
        <v>3037</v>
      </c>
      <c r="C31" s="1046"/>
      <c r="D31" s="1054" t="s">
        <v>3038</v>
      </c>
      <c r="E31" s="1099">
        <v>3529323</v>
      </c>
      <c r="F31" s="1095">
        <v>5524728.6863461435</v>
      </c>
      <c r="G31" s="1095">
        <v>200000</v>
      </c>
      <c r="H31" s="1095">
        <v>100000</v>
      </c>
      <c r="I31" s="1074">
        <v>0</v>
      </c>
      <c r="J31" s="1093">
        <f>+E31+F31+G31+H31</f>
        <v>9354051.6863461435</v>
      </c>
    </row>
    <row r="32" spans="1:10" ht="15.75" hidden="1">
      <c r="A32" s="1045">
        <v>31</v>
      </c>
      <c r="B32" s="1051" t="s">
        <v>3039</v>
      </c>
      <c r="C32" s="1046"/>
      <c r="D32" s="1051" t="s">
        <v>3040</v>
      </c>
      <c r="E32" s="1073">
        <v>10475858</v>
      </c>
      <c r="F32" s="1095"/>
      <c r="G32" s="1095"/>
      <c r="H32" s="1095"/>
      <c r="I32" s="1074">
        <f>E32</f>
        <v>10475858</v>
      </c>
      <c r="J32" s="55"/>
    </row>
    <row r="33" spans="1:10" ht="30" hidden="1">
      <c r="A33" s="1045">
        <v>32</v>
      </c>
      <c r="B33" s="1057" t="s">
        <v>3041</v>
      </c>
      <c r="C33" s="1046"/>
      <c r="D33" s="1057" t="s">
        <v>3042</v>
      </c>
      <c r="E33" s="1073">
        <v>6261225</v>
      </c>
      <c r="F33" s="1095"/>
      <c r="G33" s="1095"/>
      <c r="H33" s="1095"/>
      <c r="I33" s="1074">
        <f>E33</f>
        <v>6261225</v>
      </c>
      <c r="J33" s="55"/>
    </row>
    <row r="34" spans="1:10" ht="45" hidden="1">
      <c r="A34" s="1045">
        <v>33</v>
      </c>
      <c r="B34" s="1057" t="s">
        <v>3043</v>
      </c>
      <c r="C34" s="1046"/>
      <c r="D34" s="1057" t="s">
        <v>3044</v>
      </c>
      <c r="E34" s="1073">
        <v>6463999</v>
      </c>
      <c r="F34" s="1095"/>
      <c r="G34" s="1095"/>
      <c r="H34" s="1095"/>
      <c r="I34" s="1074">
        <f>E34</f>
        <v>6463999</v>
      </c>
      <c r="J34" s="55"/>
    </row>
    <row r="35" spans="1:10" ht="15.75" hidden="1">
      <c r="A35" s="1045">
        <v>34</v>
      </c>
      <c r="B35" s="1057" t="s">
        <v>3045</v>
      </c>
      <c r="C35" s="1046"/>
      <c r="D35" s="1057" t="s">
        <v>3046</v>
      </c>
      <c r="E35" s="1073">
        <v>3624000</v>
      </c>
      <c r="F35" s="1095"/>
      <c r="G35" s="1095"/>
      <c r="H35" s="1095"/>
      <c r="I35" s="1074">
        <f>E35</f>
        <v>3624000</v>
      </c>
      <c r="J35" s="55"/>
    </row>
    <row r="36" spans="1:10" ht="15.75">
      <c r="A36" s="1045">
        <v>35</v>
      </c>
      <c r="B36" s="1054" t="s">
        <v>3047</v>
      </c>
      <c r="C36" s="1046"/>
      <c r="D36" s="1054" t="s">
        <v>3048</v>
      </c>
      <c r="E36" s="1099">
        <v>1300000</v>
      </c>
      <c r="F36" s="1095">
        <v>1883839.6179136727</v>
      </c>
      <c r="G36" s="1095">
        <v>200000</v>
      </c>
      <c r="H36" s="1095">
        <v>100000</v>
      </c>
      <c r="I36" s="1074">
        <v>0</v>
      </c>
      <c r="J36" s="1093">
        <f>+E36+F36+G36+H36</f>
        <v>3483839.6179136727</v>
      </c>
    </row>
    <row r="37" spans="1:10" ht="15.75">
      <c r="A37" s="1045">
        <v>36</v>
      </c>
      <c r="B37" s="1054" t="s">
        <v>3049</v>
      </c>
      <c r="C37" s="1046"/>
      <c r="D37" s="1054" t="s">
        <v>3050</v>
      </c>
      <c r="E37" s="1099">
        <v>2000000</v>
      </c>
      <c r="F37" s="1095">
        <v>2612699.4070427809</v>
      </c>
      <c r="G37" s="1095">
        <v>200000</v>
      </c>
      <c r="H37" s="1095">
        <v>100000</v>
      </c>
      <c r="I37" s="1074">
        <v>0</v>
      </c>
      <c r="J37" s="1093">
        <f>+E37+F37+G37+H37</f>
        <v>4912699.4070427809</v>
      </c>
    </row>
    <row r="38" spans="1:10" ht="15.75">
      <c r="A38" s="1045">
        <v>37</v>
      </c>
      <c r="B38" s="1054" t="s">
        <v>3051</v>
      </c>
      <c r="C38" s="1046"/>
      <c r="D38" s="1054" t="s">
        <v>3052</v>
      </c>
      <c r="E38" s="1099">
        <v>7000000</v>
      </c>
      <c r="F38" s="1095">
        <v>10727533.283312961</v>
      </c>
      <c r="G38" s="1095">
        <v>200000</v>
      </c>
      <c r="H38" s="1095">
        <v>100000</v>
      </c>
      <c r="I38" s="1074">
        <v>0</v>
      </c>
      <c r="J38" s="1093">
        <f>+E38+F38+G38+H38</f>
        <v>18027533.283312961</v>
      </c>
    </row>
    <row r="39" spans="1:10" ht="15.75" hidden="1">
      <c r="A39" s="1045">
        <v>38</v>
      </c>
      <c r="B39" s="1057" t="s">
        <v>3053</v>
      </c>
      <c r="C39" s="1046"/>
      <c r="D39" s="1057" t="s">
        <v>3054</v>
      </c>
      <c r="E39" s="1073">
        <v>2209839</v>
      </c>
      <c r="F39" s="1095"/>
      <c r="G39" s="1095"/>
      <c r="H39" s="1095"/>
      <c r="I39" s="1074">
        <f t="shared" ref="I39:I47" si="1">E39</f>
        <v>2209839</v>
      </c>
      <c r="J39" s="55"/>
    </row>
    <row r="40" spans="1:10" ht="15.75" hidden="1">
      <c r="A40" s="1045">
        <v>39</v>
      </c>
      <c r="B40" s="1057" t="s">
        <v>3055</v>
      </c>
      <c r="C40" s="1046"/>
      <c r="D40" s="1057" t="s">
        <v>3056</v>
      </c>
      <c r="E40" s="1073">
        <v>3502000</v>
      </c>
      <c r="F40" s="1095"/>
      <c r="G40" s="1095"/>
      <c r="H40" s="1095"/>
      <c r="I40" s="1074">
        <f t="shared" si="1"/>
        <v>3502000</v>
      </c>
      <c r="J40" s="55"/>
    </row>
    <row r="41" spans="1:10" ht="30" hidden="1">
      <c r="A41" s="1045">
        <v>40</v>
      </c>
      <c r="B41" s="1057" t="s">
        <v>3057</v>
      </c>
      <c r="C41" s="1046"/>
      <c r="D41" s="1057" t="s">
        <v>3058</v>
      </c>
      <c r="E41" s="1073">
        <v>3502000</v>
      </c>
      <c r="F41" s="1095"/>
      <c r="G41" s="1095"/>
      <c r="H41" s="1095"/>
      <c r="I41" s="1074">
        <f t="shared" si="1"/>
        <v>3502000</v>
      </c>
      <c r="J41" s="55"/>
    </row>
    <row r="42" spans="1:10" ht="15.75" hidden="1">
      <c r="A42" s="1045">
        <v>41</v>
      </c>
      <c r="B42" s="1057" t="s">
        <v>3059</v>
      </c>
      <c r="C42" s="1046"/>
      <c r="D42" s="1057" t="s">
        <v>3060</v>
      </c>
      <c r="E42" s="1073">
        <v>10443947</v>
      </c>
      <c r="F42" s="1095"/>
      <c r="G42" s="1095"/>
      <c r="H42" s="1095"/>
      <c r="I42" s="1074">
        <f t="shared" si="1"/>
        <v>10443947</v>
      </c>
      <c r="J42" s="55"/>
    </row>
    <row r="43" spans="1:10" ht="30" hidden="1">
      <c r="A43" s="1045">
        <v>42</v>
      </c>
      <c r="B43" s="1051" t="s">
        <v>3061</v>
      </c>
      <c r="C43" s="1046"/>
      <c r="D43" s="1051" t="s">
        <v>3062</v>
      </c>
      <c r="E43" s="1073">
        <v>1987316</v>
      </c>
      <c r="F43" s="1095"/>
      <c r="G43" s="1095"/>
      <c r="H43" s="1095"/>
      <c r="I43" s="1074">
        <f t="shared" si="1"/>
        <v>1987316</v>
      </c>
      <c r="J43" s="55"/>
    </row>
    <row r="44" spans="1:10" ht="30" hidden="1">
      <c r="A44" s="1045">
        <v>43</v>
      </c>
      <c r="B44" s="1055" t="s">
        <v>3063</v>
      </c>
      <c r="C44" s="1046"/>
      <c r="D44" s="1055" t="s">
        <v>3064</v>
      </c>
      <c r="E44" s="1073">
        <v>2327395</v>
      </c>
      <c r="F44" s="1095"/>
      <c r="G44" s="1095"/>
      <c r="H44" s="1095"/>
      <c r="I44" s="1074">
        <f t="shared" si="1"/>
        <v>2327395</v>
      </c>
      <c r="J44" s="55"/>
    </row>
    <row r="45" spans="1:10" ht="30" hidden="1">
      <c r="A45" s="1045">
        <v>44</v>
      </c>
      <c r="B45" s="1055" t="s">
        <v>3065</v>
      </c>
      <c r="C45" s="1046"/>
      <c r="D45" s="1055" t="s">
        <v>3066</v>
      </c>
      <c r="E45" s="1073">
        <v>2245937</v>
      </c>
      <c r="F45" s="1095"/>
      <c r="G45" s="1095"/>
      <c r="H45" s="1095"/>
      <c r="I45" s="1074">
        <f t="shared" si="1"/>
        <v>2245937</v>
      </c>
      <c r="J45" s="55"/>
    </row>
    <row r="46" spans="1:10" ht="30" hidden="1">
      <c r="A46" s="1045">
        <v>45</v>
      </c>
      <c r="B46" s="1057" t="s">
        <v>3067</v>
      </c>
      <c r="C46" s="1046"/>
      <c r="D46" s="1057" t="s">
        <v>3068</v>
      </c>
      <c r="E46" s="1073">
        <v>8854000</v>
      </c>
      <c r="F46" s="1095"/>
      <c r="G46" s="1095"/>
      <c r="H46" s="1095"/>
      <c r="I46" s="1074">
        <f t="shared" si="1"/>
        <v>8854000</v>
      </c>
      <c r="J46" s="55"/>
    </row>
    <row r="47" spans="1:10" ht="45" hidden="1">
      <c r="A47" s="1045">
        <v>46</v>
      </c>
      <c r="B47" s="1057" t="s">
        <v>3069</v>
      </c>
      <c r="C47" s="1046"/>
      <c r="D47" s="1057" t="s">
        <v>3070</v>
      </c>
      <c r="E47" s="1073">
        <v>8863955</v>
      </c>
      <c r="F47" s="1095"/>
      <c r="G47" s="1095"/>
      <c r="H47" s="1095"/>
      <c r="I47" s="1074">
        <f t="shared" si="1"/>
        <v>8863955</v>
      </c>
      <c r="J47" s="55"/>
    </row>
    <row r="48" spans="1:10" ht="15.75" hidden="1">
      <c r="A48" s="1045">
        <v>47</v>
      </c>
      <c r="B48" s="429"/>
      <c r="C48" s="1046"/>
      <c r="D48" s="456"/>
      <c r="E48" s="1073">
        <v>5888630</v>
      </c>
      <c r="F48" s="1073"/>
      <c r="G48" s="1073"/>
      <c r="H48" s="1073"/>
      <c r="I48" s="1073">
        <v>5888630</v>
      </c>
      <c r="J48" s="55"/>
    </row>
    <row r="49" spans="1:10" ht="15.75" hidden="1">
      <c r="A49" s="1045">
        <v>48</v>
      </c>
      <c r="B49" s="1057"/>
      <c r="C49" s="1046"/>
      <c r="D49" s="1056"/>
      <c r="E49" s="1073">
        <v>7990585</v>
      </c>
      <c r="F49" s="1095"/>
      <c r="G49" s="1095"/>
      <c r="H49" s="1095"/>
      <c r="I49" s="1074">
        <f>E49</f>
        <v>7990585</v>
      </c>
      <c r="J49" s="55"/>
    </row>
    <row r="50" spans="1:10" ht="15.75" hidden="1">
      <c r="A50" s="1045">
        <v>49</v>
      </c>
      <c r="B50" s="1059" t="s">
        <v>3071</v>
      </c>
      <c r="C50" s="1046"/>
      <c r="D50" s="1059" t="s">
        <v>3072</v>
      </c>
      <c r="E50" s="1073">
        <v>1292770</v>
      </c>
      <c r="F50" s="1095"/>
      <c r="G50" s="1095"/>
      <c r="H50" s="1095"/>
      <c r="I50" s="1074">
        <f>E50</f>
        <v>1292770</v>
      </c>
      <c r="J50" s="55"/>
    </row>
    <row r="51" spans="1:10" ht="15.75" hidden="1">
      <c r="A51" s="1045">
        <v>50</v>
      </c>
      <c r="B51" s="1751" t="s">
        <v>3073</v>
      </c>
      <c r="C51" s="1046"/>
      <c r="D51" s="1751" t="s">
        <v>3074</v>
      </c>
      <c r="E51" s="1073">
        <v>3223545</v>
      </c>
      <c r="F51" s="1095"/>
      <c r="G51" s="1095"/>
      <c r="H51" s="1095"/>
      <c r="I51" s="1074">
        <f>E51</f>
        <v>3223545</v>
      </c>
      <c r="J51" s="55"/>
    </row>
    <row r="52" spans="1:10" ht="15.75" hidden="1">
      <c r="A52" s="1045">
        <v>51</v>
      </c>
      <c r="B52" s="1751"/>
      <c r="C52" s="1046"/>
      <c r="D52" s="1751"/>
      <c r="E52" s="1073">
        <v>1545046</v>
      </c>
      <c r="F52" s="1095"/>
      <c r="G52" s="1095"/>
      <c r="H52" s="1095"/>
      <c r="I52" s="1074">
        <f>E52</f>
        <v>1545046</v>
      </c>
      <c r="J52" s="55"/>
    </row>
    <row r="53" spans="1:10" ht="15.75">
      <c r="A53" s="1045">
        <v>52</v>
      </c>
      <c r="B53" s="1088" t="s">
        <v>3075</v>
      </c>
      <c r="C53" s="1046"/>
      <c r="D53" s="1061" t="s">
        <v>3076</v>
      </c>
      <c r="E53" s="1061">
        <v>1112985</v>
      </c>
      <c r="F53" s="1095">
        <v>1588130.1473452987</v>
      </c>
      <c r="G53" s="1095">
        <v>200000</v>
      </c>
      <c r="H53" s="1095">
        <v>100000</v>
      </c>
      <c r="I53" s="1074">
        <v>0</v>
      </c>
      <c r="J53" s="1093">
        <f>+E53+F53+G53+H53</f>
        <v>3001115.1473452989</v>
      </c>
    </row>
    <row r="54" spans="1:10" ht="30">
      <c r="A54" s="1045">
        <v>53</v>
      </c>
      <c r="B54" s="1054" t="s">
        <v>3077</v>
      </c>
      <c r="C54" s="1046"/>
      <c r="D54" s="1054" t="s">
        <v>3078</v>
      </c>
      <c r="E54" s="1053">
        <v>2850000</v>
      </c>
      <c r="F54" s="1095">
        <v>3802962.3792846194</v>
      </c>
      <c r="G54" s="1095">
        <v>200000</v>
      </c>
      <c r="H54" s="1095">
        <v>100000</v>
      </c>
      <c r="I54" s="1074">
        <v>0</v>
      </c>
      <c r="J54" s="1093">
        <f>+E54+F54+G54+H54</f>
        <v>6952962.3792846194</v>
      </c>
    </row>
    <row r="55" spans="1:10" ht="30" hidden="1">
      <c r="A55" s="1045">
        <v>54</v>
      </c>
      <c r="B55" s="1055" t="s">
        <v>3079</v>
      </c>
      <c r="C55" s="1046"/>
      <c r="D55" s="1062" t="s">
        <v>3080</v>
      </c>
      <c r="E55" s="1073">
        <v>900000</v>
      </c>
      <c r="F55" s="1095"/>
      <c r="G55" s="1095"/>
      <c r="H55" s="1095"/>
      <c r="I55" s="1074">
        <f t="shared" ref="I55:I60" si="2">E55</f>
        <v>900000</v>
      </c>
      <c r="J55" s="55"/>
    </row>
    <row r="56" spans="1:10" ht="30" hidden="1">
      <c r="A56" s="1045">
        <v>55</v>
      </c>
      <c r="B56" s="1055" t="s">
        <v>3081</v>
      </c>
      <c r="C56" s="1046"/>
      <c r="D56" s="1055" t="s">
        <v>3082</v>
      </c>
      <c r="E56" s="1073">
        <v>4636030</v>
      </c>
      <c r="F56" s="1095"/>
      <c r="G56" s="1095"/>
      <c r="H56" s="1095"/>
      <c r="I56" s="1074">
        <f t="shared" si="2"/>
        <v>4636030</v>
      </c>
      <c r="J56" s="55"/>
    </row>
    <row r="57" spans="1:10" ht="15.75" hidden="1">
      <c r="A57" s="1045">
        <v>56</v>
      </c>
      <c r="B57" s="1051" t="s">
        <v>278</v>
      </c>
      <c r="C57" s="1046"/>
      <c r="D57" s="1051" t="s">
        <v>3083</v>
      </c>
      <c r="E57" s="1073">
        <v>6676372</v>
      </c>
      <c r="F57" s="1095"/>
      <c r="G57" s="1095"/>
      <c r="H57" s="1095"/>
      <c r="I57" s="1074">
        <f t="shared" si="2"/>
        <v>6676372</v>
      </c>
      <c r="J57" s="55"/>
    </row>
    <row r="58" spans="1:10" ht="15.75" hidden="1">
      <c r="A58" s="1045">
        <v>57</v>
      </c>
      <c r="B58" s="1057"/>
      <c r="C58" s="1046"/>
      <c r="D58" s="1056"/>
      <c r="E58" s="1073">
        <v>12832031</v>
      </c>
      <c r="F58" s="1095"/>
      <c r="G58" s="1095"/>
      <c r="H58" s="1095"/>
      <c r="I58" s="1074">
        <f t="shared" si="2"/>
        <v>12832031</v>
      </c>
      <c r="J58" s="55"/>
    </row>
    <row r="59" spans="1:10" ht="15.75" hidden="1">
      <c r="A59" s="1045">
        <v>58</v>
      </c>
      <c r="B59" s="1055" t="s">
        <v>2926</v>
      </c>
      <c r="C59" s="1046"/>
      <c r="D59" s="1052" t="s">
        <v>3084</v>
      </c>
      <c r="E59" s="1073">
        <v>4564305</v>
      </c>
      <c r="F59" s="1095"/>
      <c r="G59" s="1095"/>
      <c r="H59" s="1095"/>
      <c r="I59" s="1074">
        <f t="shared" si="2"/>
        <v>4564305</v>
      </c>
      <c r="J59" s="55"/>
    </row>
    <row r="60" spans="1:10" ht="31.5" hidden="1">
      <c r="A60" s="1045">
        <v>59</v>
      </c>
      <c r="B60" s="1051" t="s">
        <v>3085</v>
      </c>
      <c r="C60" s="1046"/>
      <c r="D60" s="1063" t="s">
        <v>2967</v>
      </c>
      <c r="E60" s="1073">
        <v>840000</v>
      </c>
      <c r="F60" s="1095"/>
      <c r="G60" s="1095"/>
      <c r="H60" s="1095"/>
      <c r="I60" s="1074">
        <f t="shared" si="2"/>
        <v>840000</v>
      </c>
      <c r="J60" s="55"/>
    </row>
    <row r="61" spans="1:10" ht="45" hidden="1">
      <c r="A61" s="1045">
        <v>60</v>
      </c>
      <c r="B61" s="1057" t="s">
        <v>3086</v>
      </c>
      <c r="C61" s="1046"/>
      <c r="D61" s="1056" t="s">
        <v>3087</v>
      </c>
      <c r="E61" s="1074">
        <v>2149154</v>
      </c>
      <c r="F61" s="1074"/>
      <c r="G61" s="1074"/>
      <c r="H61" s="1074"/>
      <c r="I61" s="1074">
        <v>2149154</v>
      </c>
      <c r="J61" s="55"/>
    </row>
    <row r="62" spans="1:10" ht="30">
      <c r="A62" s="1045">
        <v>61</v>
      </c>
      <c r="B62" s="1089" t="s">
        <v>3088</v>
      </c>
      <c r="C62" s="1046"/>
      <c r="D62" s="1053" t="s">
        <v>3089</v>
      </c>
      <c r="E62" s="1073"/>
      <c r="F62" s="1073">
        <v>7370287.9074494336</v>
      </c>
      <c r="G62" s="1095">
        <v>200000</v>
      </c>
      <c r="H62" s="1095">
        <v>100000</v>
      </c>
      <c r="I62" s="1073">
        <v>0</v>
      </c>
      <c r="J62" s="1093">
        <f>+E62+F62+G62+H62</f>
        <v>7670287.9074494336</v>
      </c>
    </row>
    <row r="63" spans="1:10" ht="15.75" hidden="1">
      <c r="A63" s="1045">
        <v>62</v>
      </c>
      <c r="B63" s="1051" t="s">
        <v>2927</v>
      </c>
      <c r="C63" s="1046"/>
      <c r="D63" s="1051" t="s">
        <v>3090</v>
      </c>
      <c r="E63" s="1073">
        <v>1451947</v>
      </c>
      <c r="F63" s="1095"/>
      <c r="G63" s="1095"/>
      <c r="H63" s="1095"/>
      <c r="I63" s="1074">
        <f>E63</f>
        <v>1451947</v>
      </c>
      <c r="J63" s="55"/>
    </row>
    <row r="64" spans="1:10" ht="15.75" hidden="1">
      <c r="A64" s="1045">
        <v>63</v>
      </c>
      <c r="B64" s="1055" t="s">
        <v>3091</v>
      </c>
      <c r="C64" s="1046"/>
      <c r="D64" s="1052" t="s">
        <v>3092</v>
      </c>
      <c r="E64" s="1073">
        <v>2785768</v>
      </c>
      <c r="F64" s="1095"/>
      <c r="G64" s="1095"/>
      <c r="H64" s="1095"/>
      <c r="I64" s="1074">
        <f>E64</f>
        <v>2785768</v>
      </c>
      <c r="J64" s="55"/>
    </row>
    <row r="65" spans="1:10" ht="30" hidden="1">
      <c r="A65" s="1045">
        <v>64</v>
      </c>
      <c r="B65" s="1051" t="s">
        <v>3093</v>
      </c>
      <c r="C65" s="1046"/>
      <c r="D65" s="1051" t="s">
        <v>3094</v>
      </c>
      <c r="E65" s="1073">
        <v>1575425</v>
      </c>
      <c r="F65" s="1095"/>
      <c r="G65" s="1095"/>
      <c r="H65" s="1095"/>
      <c r="I65" s="1074">
        <f>E65</f>
        <v>1575425</v>
      </c>
      <c r="J65" s="55"/>
    </row>
    <row r="66" spans="1:10" ht="30" hidden="1">
      <c r="A66" s="1045">
        <v>65</v>
      </c>
      <c r="B66" s="1051" t="s">
        <v>3095</v>
      </c>
      <c r="C66" s="1046"/>
      <c r="D66" s="1050" t="s">
        <v>3096</v>
      </c>
      <c r="E66" s="1073">
        <v>1528073</v>
      </c>
      <c r="F66" s="1095"/>
      <c r="G66" s="1095"/>
      <c r="H66" s="1095"/>
      <c r="I66" s="1074">
        <f>E66</f>
        <v>1528073</v>
      </c>
      <c r="J66" s="55"/>
    </row>
    <row r="67" spans="1:10" ht="16.5" thickBot="1">
      <c r="A67" s="1045">
        <v>66</v>
      </c>
      <c r="B67" s="1054" t="s">
        <v>3097</v>
      </c>
      <c r="C67" s="1046"/>
      <c r="D67" s="1054" t="s">
        <v>3098</v>
      </c>
      <c r="E67" s="1073"/>
      <c r="F67" s="1095">
        <v>2225115.6811580579</v>
      </c>
      <c r="G67" s="1095">
        <v>200000</v>
      </c>
      <c r="H67" s="1095">
        <v>100000</v>
      </c>
      <c r="I67" s="1074">
        <v>0</v>
      </c>
      <c r="J67" s="1093">
        <f>+E67+F67+G67+H67</f>
        <v>2525115.6811580579</v>
      </c>
    </row>
    <row r="68" spans="1:10" ht="30.75" hidden="1" thickBot="1">
      <c r="A68" s="1045">
        <v>67</v>
      </c>
      <c r="B68" s="1055" t="s">
        <v>3099</v>
      </c>
      <c r="C68" s="1046"/>
      <c r="D68" s="1052" t="s">
        <v>3100</v>
      </c>
      <c r="E68" s="1073">
        <v>4574935</v>
      </c>
      <c r="F68" s="1095"/>
      <c r="G68" s="1095"/>
      <c r="H68" s="1095"/>
      <c r="I68" s="1074">
        <f t="shared" ref="I68:I75" si="3">E68</f>
        <v>4574935</v>
      </c>
      <c r="J68" s="55"/>
    </row>
    <row r="69" spans="1:10" ht="16.5" hidden="1" thickBot="1">
      <c r="A69" s="1045">
        <v>68</v>
      </c>
      <c r="B69" s="1055" t="s">
        <v>2928</v>
      </c>
      <c r="C69" s="1046"/>
      <c r="D69" s="1052" t="s">
        <v>3101</v>
      </c>
      <c r="E69" s="1073">
        <v>1954090</v>
      </c>
      <c r="F69" s="1095"/>
      <c r="G69" s="1095"/>
      <c r="H69" s="1095"/>
      <c r="I69" s="1074">
        <f t="shared" si="3"/>
        <v>1954090</v>
      </c>
      <c r="J69" s="55"/>
    </row>
    <row r="70" spans="1:10" ht="16.5" hidden="1" thickBot="1">
      <c r="A70" s="1045">
        <v>69</v>
      </c>
      <c r="B70" s="1057" t="s">
        <v>2929</v>
      </c>
      <c r="C70" s="1046"/>
      <c r="D70" s="1056" t="s">
        <v>2968</v>
      </c>
      <c r="E70" s="1073">
        <v>1994146</v>
      </c>
      <c r="F70" s="1095"/>
      <c r="G70" s="1095"/>
      <c r="H70" s="1095"/>
      <c r="I70" s="1074">
        <f t="shared" si="3"/>
        <v>1994146</v>
      </c>
      <c r="J70" s="55"/>
    </row>
    <row r="71" spans="1:10" ht="16.5" hidden="1" thickBot="1">
      <c r="A71" s="1045">
        <v>70</v>
      </c>
      <c r="B71" s="1055" t="s">
        <v>2930</v>
      </c>
      <c r="C71" s="1046"/>
      <c r="D71" s="1052" t="s">
        <v>2969</v>
      </c>
      <c r="E71" s="1073">
        <v>4645563</v>
      </c>
      <c r="F71" s="1095"/>
      <c r="G71" s="1095"/>
      <c r="H71" s="1095"/>
      <c r="I71" s="1074">
        <f t="shared" si="3"/>
        <v>4645563</v>
      </c>
      <c r="J71" s="55"/>
    </row>
    <row r="72" spans="1:10" ht="16.5" hidden="1" thickBot="1">
      <c r="A72" s="1045">
        <v>71</v>
      </c>
      <c r="B72" s="1057" t="s">
        <v>3102</v>
      </c>
      <c r="C72" s="1046"/>
      <c r="D72" s="1056" t="s">
        <v>2970</v>
      </c>
      <c r="E72" s="1073">
        <v>1409056</v>
      </c>
      <c r="F72" s="1095"/>
      <c r="G72" s="1095"/>
      <c r="H72" s="1095"/>
      <c r="I72" s="1074">
        <f t="shared" si="3"/>
        <v>1409056</v>
      </c>
      <c r="J72" s="55"/>
    </row>
    <row r="73" spans="1:10" ht="16.5" hidden="1" thickBot="1">
      <c r="A73" s="1045">
        <v>72</v>
      </c>
      <c r="B73" s="1055" t="s">
        <v>2931</v>
      </c>
      <c r="C73" s="1046"/>
      <c r="D73" s="1052" t="s">
        <v>2971</v>
      </c>
      <c r="E73" s="1073">
        <v>1666262</v>
      </c>
      <c r="F73" s="1095"/>
      <c r="G73" s="1095"/>
      <c r="H73" s="1095"/>
      <c r="I73" s="1074">
        <f t="shared" si="3"/>
        <v>1666262</v>
      </c>
      <c r="J73" s="55"/>
    </row>
    <row r="74" spans="1:10" ht="16.5" hidden="1" thickBot="1">
      <c r="A74" s="1045">
        <v>73</v>
      </c>
      <c r="B74" s="1055" t="s">
        <v>2932</v>
      </c>
      <c r="C74" s="1046"/>
      <c r="D74" s="1052" t="s">
        <v>2972</v>
      </c>
      <c r="E74" s="1073">
        <v>2773750</v>
      </c>
      <c r="F74" s="1095"/>
      <c r="G74" s="1095"/>
      <c r="H74" s="1095"/>
      <c r="I74" s="1074">
        <f t="shared" si="3"/>
        <v>2773750</v>
      </c>
      <c r="J74" s="55"/>
    </row>
    <row r="75" spans="1:10" ht="30.75" hidden="1" thickBot="1">
      <c r="A75" s="1045">
        <v>74</v>
      </c>
      <c r="B75" s="1055" t="s">
        <v>2933</v>
      </c>
      <c r="C75" s="1046"/>
      <c r="D75" s="1055" t="s">
        <v>3103</v>
      </c>
      <c r="E75" s="1073">
        <v>2109082</v>
      </c>
      <c r="F75" s="1095"/>
      <c r="G75" s="1095"/>
      <c r="H75" s="1095"/>
      <c r="I75" s="1074">
        <f t="shared" si="3"/>
        <v>2109082</v>
      </c>
      <c r="J75" s="55"/>
    </row>
    <row r="76" spans="1:10" ht="16.5" hidden="1" thickBot="1">
      <c r="A76" s="1045">
        <v>75</v>
      </c>
      <c r="B76" s="1055" t="s">
        <v>2934</v>
      </c>
      <c r="C76" s="1046"/>
      <c r="D76" s="1052" t="s">
        <v>2973</v>
      </c>
      <c r="E76" s="1073">
        <v>2225000</v>
      </c>
      <c r="F76" s="1073"/>
      <c r="G76" s="1073"/>
      <c r="H76" s="1073"/>
      <c r="I76" s="1073">
        <v>2225000</v>
      </c>
      <c r="J76" s="55"/>
    </row>
    <row r="77" spans="1:10" ht="16.5" hidden="1" thickBot="1">
      <c r="A77" s="1045">
        <v>76</v>
      </c>
      <c r="B77" s="1055" t="s">
        <v>2935</v>
      </c>
      <c r="C77" s="1046"/>
      <c r="D77" s="1052" t="s">
        <v>2974</v>
      </c>
      <c r="E77" s="1073">
        <v>2100000</v>
      </c>
      <c r="F77" s="1073"/>
      <c r="G77" s="1073"/>
      <c r="H77" s="1073"/>
      <c r="I77" s="1073">
        <v>2100000</v>
      </c>
      <c r="J77" s="55"/>
    </row>
    <row r="78" spans="1:10" ht="16.5" hidden="1" thickBot="1">
      <c r="A78" s="1045">
        <v>77</v>
      </c>
      <c r="B78" s="1055" t="s">
        <v>2936</v>
      </c>
      <c r="C78" s="1046"/>
      <c r="D78" s="1052" t="s">
        <v>3104</v>
      </c>
      <c r="E78" s="1075">
        <v>2173175</v>
      </c>
      <c r="F78" s="1075"/>
      <c r="G78" s="1075"/>
      <c r="H78" s="1075"/>
      <c r="I78" s="1075">
        <v>2173175</v>
      </c>
      <c r="J78" s="55"/>
    </row>
    <row r="79" spans="1:10" ht="16.5" hidden="1" thickBot="1">
      <c r="A79" s="1045">
        <v>78</v>
      </c>
      <c r="B79" s="1055" t="s">
        <v>2937</v>
      </c>
      <c r="C79" s="1046"/>
      <c r="D79" s="1052" t="s">
        <v>2975</v>
      </c>
      <c r="E79" s="1075">
        <v>7000000</v>
      </c>
      <c r="F79" s="1096"/>
      <c r="G79" s="1096"/>
      <c r="H79" s="1096"/>
      <c r="I79" s="1074">
        <f>E79</f>
        <v>7000000</v>
      </c>
      <c r="J79" s="55"/>
    </row>
    <row r="80" spans="1:10" ht="30.75" hidden="1" thickBot="1">
      <c r="A80" s="1045">
        <v>79</v>
      </c>
      <c r="B80" s="1057" t="s">
        <v>3105</v>
      </c>
      <c r="C80" s="1046"/>
      <c r="D80" s="1056" t="s">
        <v>3106</v>
      </c>
      <c r="E80" s="1073">
        <v>33000000</v>
      </c>
      <c r="F80" s="1095"/>
      <c r="G80" s="1095"/>
      <c r="H80" s="1095"/>
      <c r="I80" s="1074">
        <f>E80</f>
        <v>33000000</v>
      </c>
      <c r="J80" s="55"/>
    </row>
    <row r="81" spans="1:10" ht="30.75" hidden="1" thickBot="1">
      <c r="A81" s="1045">
        <v>80</v>
      </c>
      <c r="B81" s="1090" t="s">
        <v>3107</v>
      </c>
      <c r="C81" s="1046"/>
      <c r="D81" s="1065" t="s">
        <v>3108</v>
      </c>
      <c r="E81" s="1073">
        <v>1592430</v>
      </c>
      <c r="F81" s="1095"/>
      <c r="G81" s="1095"/>
      <c r="H81" s="1095"/>
      <c r="I81" s="1074">
        <f>E81</f>
        <v>1592430</v>
      </c>
      <c r="J81" s="55"/>
    </row>
    <row r="82" spans="1:10" ht="30.75" hidden="1" thickBot="1">
      <c r="A82" s="1045">
        <v>81</v>
      </c>
      <c r="B82" s="1051" t="s">
        <v>3109</v>
      </c>
      <c r="C82" s="1046"/>
      <c r="D82" s="1050" t="s">
        <v>3110</v>
      </c>
      <c r="E82" s="1073">
        <v>23257863</v>
      </c>
      <c r="F82" s="1095"/>
      <c r="G82" s="1095"/>
      <c r="H82" s="1095"/>
      <c r="I82" s="1074">
        <f>E82</f>
        <v>23257863</v>
      </c>
      <c r="J82" s="55"/>
    </row>
    <row r="83" spans="1:10" ht="30.75" hidden="1" thickBot="1">
      <c r="A83" s="1047">
        <v>82</v>
      </c>
      <c r="B83" s="1057" t="s">
        <v>3111</v>
      </c>
      <c r="C83" s="1048"/>
      <c r="D83" s="1057" t="s">
        <v>3112</v>
      </c>
      <c r="E83" s="1077">
        <v>3067644</v>
      </c>
      <c r="F83" s="1097"/>
      <c r="G83" s="1097"/>
      <c r="H83" s="1097"/>
      <c r="I83" s="1078">
        <f>E83</f>
        <v>3067644</v>
      </c>
      <c r="J83" s="55"/>
    </row>
    <row r="84" spans="1:10" ht="16.5" hidden="1" thickBot="1">
      <c r="A84" s="1049">
        <v>83</v>
      </c>
      <c r="B84" s="1057" t="s">
        <v>3113</v>
      </c>
      <c r="C84" s="1072"/>
      <c r="D84" s="1056" t="s">
        <v>3114</v>
      </c>
      <c r="E84" s="1079">
        <v>928138</v>
      </c>
      <c r="F84" s="1079"/>
      <c r="G84" s="1079"/>
      <c r="H84" s="1079"/>
      <c r="I84" s="1080">
        <v>928138</v>
      </c>
      <c r="J84" s="55"/>
    </row>
    <row r="85" spans="1:10" ht="16.5" hidden="1" thickBot="1">
      <c r="A85" s="1049">
        <v>84</v>
      </c>
      <c r="B85" s="1055" t="s">
        <v>3115</v>
      </c>
      <c r="C85" s="1076"/>
      <c r="D85" s="1052" t="s">
        <v>3116</v>
      </c>
      <c r="E85" s="1081">
        <v>1150000</v>
      </c>
      <c r="F85" s="1081"/>
      <c r="G85" s="1081"/>
      <c r="H85" s="1081"/>
      <c r="I85" s="1080">
        <v>1150000</v>
      </c>
      <c r="J85" s="55"/>
    </row>
    <row r="86" spans="1:10" ht="30.75" hidden="1" thickBot="1">
      <c r="A86" s="1049">
        <v>85</v>
      </c>
      <c r="B86" s="1057" t="s">
        <v>3117</v>
      </c>
      <c r="C86" s="1072"/>
      <c r="D86" s="1057" t="s">
        <v>3118</v>
      </c>
      <c r="E86" s="1079">
        <v>10300000</v>
      </c>
      <c r="F86" s="1079"/>
      <c r="G86" s="1079"/>
      <c r="H86" s="1079"/>
      <c r="I86" s="1079">
        <v>10300000</v>
      </c>
      <c r="J86" s="55"/>
    </row>
    <row r="87" spans="1:10" ht="30.75" thickBot="1">
      <c r="A87" s="1082"/>
      <c r="B87" s="1054" t="s">
        <v>3119</v>
      </c>
      <c r="C87" s="1083"/>
      <c r="D87" s="1054" t="s">
        <v>2976</v>
      </c>
      <c r="E87" s="1073"/>
      <c r="F87" s="1092">
        <v>29117478</v>
      </c>
      <c r="G87" s="1095">
        <v>200000</v>
      </c>
      <c r="H87" s="1095">
        <v>100000</v>
      </c>
      <c r="I87" s="1091">
        <v>0</v>
      </c>
      <c r="J87" s="1093">
        <f>+E87+F87+G87+H87</f>
        <v>29417478</v>
      </c>
    </row>
    <row r="88" spans="1:10" hidden="1">
      <c r="B88" s="1055" t="s">
        <v>3120</v>
      </c>
      <c r="D88" s="1055" t="s">
        <v>3121</v>
      </c>
    </row>
    <row r="89" spans="1:10" hidden="1">
      <c r="B89" s="1057" t="s">
        <v>3122</v>
      </c>
      <c r="D89" s="1057" t="s">
        <v>3123</v>
      </c>
    </row>
    <row r="90" spans="1:10" hidden="1">
      <c r="B90" s="1057" t="s">
        <v>3124</v>
      </c>
      <c r="D90" s="1057" t="s">
        <v>3125</v>
      </c>
    </row>
    <row r="91" spans="1:10" hidden="1">
      <c r="B91" s="1057" t="s">
        <v>3126</v>
      </c>
      <c r="D91" s="1057" t="s">
        <v>3127</v>
      </c>
    </row>
    <row r="92" spans="1:10" hidden="1">
      <c r="B92" s="1057" t="s">
        <v>3128</v>
      </c>
      <c r="D92" s="1057" t="s">
        <v>3129</v>
      </c>
    </row>
    <row r="93" spans="1:10" hidden="1">
      <c r="B93" s="1057" t="s">
        <v>3130</v>
      </c>
      <c r="D93" s="1057" t="s">
        <v>3131</v>
      </c>
    </row>
    <row r="94" spans="1:10" ht="30">
      <c r="B94" s="1066" t="s">
        <v>3132</v>
      </c>
      <c r="D94" s="1066" t="s">
        <v>3133</v>
      </c>
      <c r="E94" s="1073"/>
      <c r="F94" s="394">
        <v>2861519.3665020457</v>
      </c>
      <c r="G94" s="1095">
        <v>200000</v>
      </c>
      <c r="H94" s="1095">
        <v>100000</v>
      </c>
      <c r="J94" s="1093">
        <f>+E94+F94+G94+H94</f>
        <v>3161519.3665020457</v>
      </c>
    </row>
    <row r="95" spans="1:10" ht="30">
      <c r="B95" s="1067" t="s">
        <v>3134</v>
      </c>
      <c r="D95" s="1067" t="s">
        <v>3135</v>
      </c>
      <c r="E95" s="1073"/>
      <c r="F95" s="394">
        <v>2420050.7588060452</v>
      </c>
      <c r="G95" s="1095">
        <v>200000</v>
      </c>
      <c r="H95" s="1095">
        <v>100000</v>
      </c>
      <c r="I95" s="1092">
        <v>0</v>
      </c>
      <c r="J95" s="1093">
        <f>+E95+F95+G95+H95</f>
        <v>2720050.7588060452</v>
      </c>
    </row>
    <row r="96" spans="1:10" hidden="1">
      <c r="B96" s="1051" t="s">
        <v>3136</v>
      </c>
      <c r="D96" s="1068" t="s">
        <v>3137</v>
      </c>
    </row>
    <row r="98" spans="5:9" ht="16.5" thickBot="1">
      <c r="E98" s="1084" t="e">
        <f>SUM(E2:E87)</f>
        <v>#VALUE!</v>
      </c>
      <c r="F98" s="1098"/>
      <c r="G98" s="1098"/>
      <c r="H98" s="1098"/>
      <c r="I98" s="1085" t="e">
        <f>SUM(I2:I87)</f>
        <v>#VALUE!</v>
      </c>
    </row>
  </sheetData>
  <autoFilter ref="A1:J96">
    <filterColumn colId="1">
      <colorFilter dxfId="0"/>
    </filterColumn>
  </autoFilter>
  <mergeCells count="2">
    <mergeCell ref="B51:B52"/>
    <mergeCell ref="D51:D52"/>
  </mergeCells>
  <pageMargins left="0.7" right="0.7" top="0.75" bottom="0.75" header="0.3" footer="0.3"/>
</worksheet>
</file>

<file path=xl/worksheets/sheet49.xml><?xml version="1.0" encoding="utf-8"?>
<worksheet xmlns="http://schemas.openxmlformats.org/spreadsheetml/2006/main" xmlns:r="http://schemas.openxmlformats.org/officeDocument/2006/relationships">
  <dimension ref="A1:FA128"/>
  <sheetViews>
    <sheetView workbookViewId="0">
      <selection sqref="A1:XFD1048576"/>
    </sheetView>
  </sheetViews>
  <sheetFormatPr defaultColWidth="9.140625" defaultRowHeight="15"/>
  <cols>
    <col min="1" max="1" width="6.28515625" style="1159" customWidth="1"/>
    <col min="2" max="2" width="38" style="1129" customWidth="1"/>
    <col min="3" max="3" width="44" style="1129" customWidth="1"/>
    <col min="4" max="4" width="17.85546875" style="1129" customWidth="1"/>
    <col min="5" max="5" width="17" style="1129" hidden="1" customWidth="1"/>
    <col min="6" max="10" width="16.5703125" style="1129" hidden="1" customWidth="1"/>
    <col min="11" max="11" width="20.85546875" style="1129" hidden="1" customWidth="1"/>
    <col min="12" max="14" width="17" style="1129" hidden="1" customWidth="1"/>
    <col min="15" max="15" width="12.7109375" style="1129" hidden="1" customWidth="1"/>
    <col min="16" max="16" width="17.85546875" style="1129" hidden="1" customWidth="1"/>
    <col min="17" max="17" width="15.5703125" style="1129" hidden="1" customWidth="1"/>
    <col min="18" max="18" width="13.7109375" style="1129" hidden="1" customWidth="1"/>
    <col min="19" max="19" width="9.140625" style="1172" hidden="1" customWidth="1"/>
    <col min="20" max="20" width="12.28515625" style="1172" hidden="1" customWidth="1"/>
    <col min="21" max="22" width="11.85546875" style="1129" hidden="1" customWidth="1"/>
    <col min="23" max="23" width="11.5703125" style="1129" hidden="1" customWidth="1"/>
    <col min="24" max="24" width="13.28515625" style="1129" hidden="1" customWidth="1"/>
    <col min="25" max="26" width="13.28515625" style="1167" hidden="1" customWidth="1"/>
    <col min="27" max="27" width="16.42578125" style="1056" hidden="1" customWidth="1"/>
    <col min="28" max="28" width="15.140625" style="1129" customWidth="1"/>
    <col min="29" max="29" width="18.28515625" style="1129" customWidth="1"/>
    <col min="30" max="30" width="18.42578125" style="1129" customWidth="1"/>
    <col min="31" max="31" width="13.42578125" style="1129" customWidth="1"/>
    <col min="32" max="32" width="19.85546875" style="1129" customWidth="1"/>
    <col min="33" max="33" width="13.42578125" style="1056" customWidth="1"/>
    <col min="34" max="16384" width="9.140625" style="1129"/>
  </cols>
  <sheetData>
    <row r="1" spans="1:33" s="1105" customFormat="1" ht="90">
      <c r="A1" s="1069" t="s">
        <v>2868</v>
      </c>
      <c r="B1" s="1009" t="s">
        <v>2925</v>
      </c>
      <c r="C1" s="1009" t="s">
        <v>2408</v>
      </c>
      <c r="D1" s="1010" t="s">
        <v>3198</v>
      </c>
      <c r="E1" s="1100" t="s">
        <v>3141</v>
      </c>
      <c r="F1" s="1100" t="s">
        <v>3142</v>
      </c>
      <c r="G1" s="1101" t="s">
        <v>3143</v>
      </c>
      <c r="H1" s="1101" t="s">
        <v>3144</v>
      </c>
      <c r="I1" s="1101" t="s">
        <v>3145</v>
      </c>
      <c r="J1" s="1101" t="s">
        <v>3146</v>
      </c>
      <c r="K1" s="1101" t="s">
        <v>3147</v>
      </c>
      <c r="L1" s="1101" t="s">
        <v>3148</v>
      </c>
      <c r="M1" s="1101" t="s">
        <v>3149</v>
      </c>
      <c r="N1" s="1101" t="s">
        <v>3150</v>
      </c>
      <c r="O1" s="1101" t="s">
        <v>3151</v>
      </c>
      <c r="P1" s="1101" t="s">
        <v>3152</v>
      </c>
      <c r="Q1" s="1101" t="s">
        <v>3153</v>
      </c>
      <c r="R1" s="1101" t="s">
        <v>3154</v>
      </c>
      <c r="S1" s="1759" t="s">
        <v>3155</v>
      </c>
      <c r="T1" s="1759"/>
      <c r="U1" s="1101" t="s">
        <v>3156</v>
      </c>
      <c r="V1" s="1101" t="s">
        <v>3157</v>
      </c>
      <c r="W1" s="1101" t="s">
        <v>3158</v>
      </c>
      <c r="X1" s="1102">
        <v>43406</v>
      </c>
      <c r="Y1" s="1103" t="s">
        <v>3159</v>
      </c>
      <c r="Z1" s="1103" t="s">
        <v>3160</v>
      </c>
      <c r="AA1" s="1104" t="s">
        <v>3161</v>
      </c>
      <c r="AB1" s="1010" t="s">
        <v>3199</v>
      </c>
      <c r="AC1" s="1010" t="s">
        <v>3139</v>
      </c>
      <c r="AD1" s="1010" t="s">
        <v>3162</v>
      </c>
      <c r="AE1" s="1010" t="s">
        <v>3163</v>
      </c>
      <c r="AF1" s="1199" t="s">
        <v>3164</v>
      </c>
      <c r="AG1" s="986" t="s">
        <v>3200</v>
      </c>
    </row>
    <row r="2" spans="1:33" s="1112" customFormat="1" ht="30">
      <c r="A2" s="1050">
        <v>1</v>
      </c>
      <c r="B2" s="1050" t="s">
        <v>2979</v>
      </c>
      <c r="C2" s="1051" t="s">
        <v>2980</v>
      </c>
      <c r="D2" s="1050">
        <v>5384200</v>
      </c>
      <c r="E2" s="1050">
        <f>+AB2</f>
        <v>6821538.7951982375</v>
      </c>
      <c r="F2" s="1050">
        <f>D2+E2</f>
        <v>12205738.795198238</v>
      </c>
      <c r="G2" s="1050">
        <v>5384200</v>
      </c>
      <c r="H2" s="1050">
        <v>4400000</v>
      </c>
      <c r="I2" s="1050"/>
      <c r="J2" s="1050">
        <f>+H2+I2</f>
        <v>4400000</v>
      </c>
      <c r="K2" s="1107">
        <f>+L2+M2</f>
        <v>4407200</v>
      </c>
      <c r="L2" s="1107">
        <f>450000+50000+400000+7200+800000+600000+150000</f>
        <v>2457200</v>
      </c>
      <c r="M2" s="1107">
        <f>950000+400000+100000+500000</f>
        <v>1950000</v>
      </c>
      <c r="N2" s="1107"/>
      <c r="O2" s="1050" t="s">
        <v>3165</v>
      </c>
      <c r="P2" s="1050"/>
      <c r="Q2" s="1050"/>
      <c r="R2" s="1108">
        <v>41400</v>
      </c>
      <c r="S2" s="1755">
        <f>+R2+(365*3)+2</f>
        <v>42497</v>
      </c>
      <c r="T2" s="1755"/>
      <c r="U2" s="1109">
        <f>($X$1-S2)/365</f>
        <v>2.4904109589041097</v>
      </c>
      <c r="V2" s="1110">
        <f>($X$1-S2)/365*4</f>
        <v>9.9616438356164387</v>
      </c>
      <c r="W2" s="1111">
        <v>0</v>
      </c>
      <c r="X2" s="1111">
        <f>$K$2*$U$2*18/100</f>
        <v>1975633.0520547947</v>
      </c>
      <c r="Y2" s="1111">
        <f>$D2*8/100*$U2</f>
        <v>1072709.6547945207</v>
      </c>
      <c r="Z2" s="1111">
        <f>$H2*8/100*$U2</f>
        <v>876624.65753424657</v>
      </c>
      <c r="AA2" s="1050">
        <f>+D2+Z2</f>
        <v>6260824.6575342463</v>
      </c>
      <c r="AB2" s="1050">
        <f>+H2*(1+18%/4)^V2</f>
        <v>6821538.7951982375</v>
      </c>
      <c r="AC2" s="1050">
        <v>200000</v>
      </c>
      <c r="AD2" s="1050">
        <v>100000</v>
      </c>
      <c r="AE2" s="1050">
        <f>+D2+AB2+AC2+AD2</f>
        <v>12505738.795198238</v>
      </c>
      <c r="AF2" s="1200"/>
      <c r="AG2" s="1050"/>
    </row>
    <row r="3" spans="1:33" s="1112" customFormat="1" ht="60">
      <c r="A3" s="1050">
        <v>2</v>
      </c>
      <c r="B3" s="1050" t="s">
        <v>2981</v>
      </c>
      <c r="C3" s="1051" t="s">
        <v>2982</v>
      </c>
      <c r="D3" s="1050">
        <v>5096000</v>
      </c>
      <c r="E3" s="1050">
        <f>+AB3</f>
        <v>6776095.5774447322</v>
      </c>
      <c r="F3" s="1050">
        <f>D3+E3</f>
        <v>11872095.577444732</v>
      </c>
      <c r="G3" s="1050">
        <v>5096000</v>
      </c>
      <c r="H3" s="1050">
        <f>1800000+Q3</f>
        <v>3760000</v>
      </c>
      <c r="I3" s="1050"/>
      <c r="J3" s="1050"/>
      <c r="K3" s="1107">
        <f>1100000+100000+600000</f>
        <v>1800000</v>
      </c>
      <c r="L3" s="1106">
        <v>0</v>
      </c>
      <c r="M3" s="1107">
        <f>+K3-L3</f>
        <v>1800000</v>
      </c>
      <c r="N3" s="1107">
        <v>3800000</v>
      </c>
      <c r="O3" s="1051" t="s">
        <v>3166</v>
      </c>
      <c r="P3" s="1050"/>
      <c r="Q3" s="1050">
        <v>1960000</v>
      </c>
      <c r="R3" s="1108">
        <v>41614</v>
      </c>
      <c r="S3" s="1760" t="s">
        <v>3167</v>
      </c>
      <c r="T3" s="1760"/>
      <c r="U3" s="1109">
        <f>1221/365</f>
        <v>3.3452054794520549</v>
      </c>
      <c r="V3" s="1110" t="e">
        <f>($X$1-S3)/365*4</f>
        <v>#VALUE!</v>
      </c>
      <c r="W3" s="1111">
        <v>0</v>
      </c>
      <c r="X3" s="1111">
        <f>$K$3*$U$3*18/100</f>
        <v>1083846.5753424659</v>
      </c>
      <c r="Y3" s="1111">
        <f>$D3*8/100*$U3</f>
        <v>1363773.3698630137</v>
      </c>
      <c r="Z3" s="1111">
        <f>$H3*8/100*$U3</f>
        <v>1006237.8082191781</v>
      </c>
      <c r="AA3" s="1050">
        <f>+D3+Z3</f>
        <v>6102237.8082191776</v>
      </c>
      <c r="AB3" s="1050">
        <v>6776095.5774447322</v>
      </c>
      <c r="AC3" s="1050">
        <v>200000</v>
      </c>
      <c r="AD3" s="1050">
        <v>100000</v>
      </c>
      <c r="AE3" s="1050">
        <f>+D3+AB3+AC3+AD3</f>
        <v>12172095.577444732</v>
      </c>
      <c r="AF3" s="1200"/>
      <c r="AG3" s="1050"/>
    </row>
    <row r="4" spans="1:33" s="1117" customFormat="1">
      <c r="A4" s="1052">
        <v>3</v>
      </c>
      <c r="B4" s="1052" t="s">
        <v>2983</v>
      </c>
      <c r="C4" s="1052" t="s">
        <v>2984</v>
      </c>
      <c r="D4" s="1052">
        <v>2544670</v>
      </c>
      <c r="E4" s="1052">
        <f>+AB4</f>
        <v>0</v>
      </c>
      <c r="F4" s="1052">
        <f t="shared" ref="F4:F9" si="0">D4+E4</f>
        <v>2544670</v>
      </c>
      <c r="G4" s="1052">
        <v>2153500</v>
      </c>
      <c r="H4" s="1052"/>
      <c r="I4" s="1052"/>
      <c r="J4" s="1052">
        <f t="shared" ref="J4:J52" si="1">+H4+I4</f>
        <v>0</v>
      </c>
      <c r="K4" s="1113">
        <f>875000+875000+100890+342000+100890+150000+100890</f>
        <v>2544670</v>
      </c>
      <c r="L4" s="1113">
        <v>2544670</v>
      </c>
      <c r="M4" s="1113">
        <f t="shared" ref="M4:M69" si="2">K4-L4</f>
        <v>0</v>
      </c>
      <c r="N4" s="1113">
        <v>2544670</v>
      </c>
      <c r="O4" s="1052" t="s">
        <v>3168</v>
      </c>
      <c r="P4" s="1052"/>
      <c r="Q4" s="1052"/>
      <c r="R4" s="1114">
        <v>41671</v>
      </c>
      <c r="S4" s="1752">
        <f>R4+(365*3)+2</f>
        <v>42768</v>
      </c>
      <c r="T4" s="1752"/>
      <c r="U4" s="1052">
        <f>($X$1-S4)/365</f>
        <v>1.747945205479452</v>
      </c>
      <c r="V4" s="1115">
        <f>($X$1-S4)/365*4</f>
        <v>6.9917808219178079</v>
      </c>
      <c r="W4" s="1052">
        <f>K4*U4*8/100</f>
        <v>355835.4980821918</v>
      </c>
      <c r="X4" s="1052">
        <f>K4*U4*18/100</f>
        <v>800629.87068493152</v>
      </c>
      <c r="Y4" s="1116">
        <f>$D4*8/100*$U4</f>
        <v>355835.4980821918</v>
      </c>
      <c r="Z4" s="1116">
        <f>$H4*8/100*$U4</f>
        <v>0</v>
      </c>
      <c r="AA4" s="1052">
        <f>+D4+Z4</f>
        <v>2544670</v>
      </c>
      <c r="AB4" s="1052">
        <f>+H4*(1+18%/4)^V4</f>
        <v>0</v>
      </c>
      <c r="AC4" s="1052">
        <v>200000</v>
      </c>
      <c r="AD4" s="1052">
        <v>100000</v>
      </c>
      <c r="AE4" s="1052">
        <f>+D4+AB4+AC4+AD4</f>
        <v>2844670</v>
      </c>
      <c r="AF4" s="1201"/>
      <c r="AG4" s="1052"/>
    </row>
    <row r="5" spans="1:33" s="1124" customFormat="1">
      <c r="A5" s="1053">
        <v>4</v>
      </c>
      <c r="B5" s="1053" t="s">
        <v>2985</v>
      </c>
      <c r="C5" s="1054" t="s">
        <v>2986</v>
      </c>
      <c r="D5" s="1053">
        <v>3951610</v>
      </c>
      <c r="E5" s="1053">
        <f>+'[5]Anu Gupta'!H17</f>
        <v>3561504.6230136985</v>
      </c>
      <c r="F5" s="1053">
        <f t="shared" si="0"/>
        <v>7513114.6230136985</v>
      </c>
      <c r="G5" s="1053">
        <v>3951610</v>
      </c>
      <c r="H5" s="1053">
        <v>3951610</v>
      </c>
      <c r="I5" s="1053">
        <f>+'[5]Anu Gupta'!H17</f>
        <v>3561504.6230136985</v>
      </c>
      <c r="J5" s="1053">
        <f t="shared" si="1"/>
        <v>7513114.6230136985</v>
      </c>
      <c r="K5" s="1118">
        <f>278830+200000+182108+400000+1282436+500000+588353+100000+367896</f>
        <v>3899623</v>
      </c>
      <c r="L5" s="1118">
        <v>0</v>
      </c>
      <c r="M5" s="1118">
        <f t="shared" si="2"/>
        <v>3899623</v>
      </c>
      <c r="N5" s="1118">
        <f>500000+588353+100000+367896+182108</f>
        <v>1738357</v>
      </c>
      <c r="O5" s="1119">
        <v>42250</v>
      </c>
      <c r="P5" s="1119"/>
      <c r="Q5" s="1119"/>
      <c r="R5" s="1120">
        <v>41424</v>
      </c>
      <c r="S5" s="1754">
        <f>R5+(365*3)+2</f>
        <v>42521</v>
      </c>
      <c r="T5" s="1754"/>
      <c r="U5" s="1053">
        <f>($X$1-S5)/365</f>
        <v>2.4246575342465753</v>
      </c>
      <c r="V5" s="1122">
        <f>($X$1-S5)/365*4</f>
        <v>9.6986301369863011</v>
      </c>
      <c r="W5" s="1053">
        <v>0</v>
      </c>
      <c r="X5" s="1053">
        <f>$K$5*$U$5*18/100</f>
        <v>1701945.051780822</v>
      </c>
      <c r="Y5" s="1123"/>
      <c r="Z5" s="1123"/>
      <c r="AA5" s="1053"/>
      <c r="AB5" s="1053">
        <v>3561504.6230136985</v>
      </c>
      <c r="AC5" s="1053">
        <v>50000</v>
      </c>
      <c r="AD5" s="1053">
        <v>20000</v>
      </c>
      <c r="AE5" s="1053">
        <f>+AC5+AD5+J5+D5</f>
        <v>11534724.623013698</v>
      </c>
      <c r="AF5" s="1202"/>
      <c r="AG5" s="1053"/>
    </row>
    <row r="6" spans="1:33" s="1117" customFormat="1" ht="30">
      <c r="A6" s="1052">
        <v>5</v>
      </c>
      <c r="B6" s="1052" t="s">
        <v>2987</v>
      </c>
      <c r="C6" s="1055" t="s">
        <v>2988</v>
      </c>
      <c r="D6" s="1052">
        <v>4896425</v>
      </c>
      <c r="E6" s="1052">
        <f t="shared" ref="E6:E70" si="3">+AB6</f>
        <v>1239592496151973</v>
      </c>
      <c r="F6" s="1052">
        <f t="shared" si="0"/>
        <v>1239592501048398</v>
      </c>
      <c r="G6" s="1052">
        <v>4896425</v>
      </c>
      <c r="H6" s="1052">
        <v>1000000</v>
      </c>
      <c r="I6" s="1052"/>
      <c r="J6" s="1052">
        <f t="shared" si="1"/>
        <v>1000000</v>
      </c>
      <c r="K6" s="1125"/>
      <c r="L6" s="1125">
        <v>0</v>
      </c>
      <c r="M6" s="1113">
        <v>1000000</v>
      </c>
      <c r="N6" s="1125" t="s">
        <v>3169</v>
      </c>
      <c r="O6" s="1052"/>
      <c r="P6" s="1052"/>
      <c r="Q6" s="1052"/>
      <c r="R6" s="1116"/>
      <c r="S6" s="1752"/>
      <c r="T6" s="1752"/>
      <c r="U6" s="1052"/>
      <c r="V6" s="1115">
        <f t="shared" ref="V6:V70" si="4">($X$1-S6)/365*4</f>
        <v>475.68219178082194</v>
      </c>
      <c r="W6" s="1052"/>
      <c r="X6" s="1052"/>
      <c r="Y6" s="1116">
        <f t="shared" ref="Y6:Y52" si="5">$D6*8/100*$U6</f>
        <v>0</v>
      </c>
      <c r="Z6" s="1116">
        <f t="shared" ref="Z6:Z37" si="6">$H6*8/100*$U6</f>
        <v>0</v>
      </c>
      <c r="AA6" s="1052">
        <f t="shared" ref="AA6:AA37" si="7">+D6+Z6</f>
        <v>4896425</v>
      </c>
      <c r="AB6" s="1052">
        <f>+H6*(1+18%/4)^V6</f>
        <v>1239592496151973</v>
      </c>
      <c r="AC6" s="1052">
        <v>200000</v>
      </c>
      <c r="AD6" s="1052">
        <v>100000</v>
      </c>
      <c r="AE6" s="1052">
        <f t="shared" ref="AE6:AE20" si="8">+D6+AB6+AC6+AD6</f>
        <v>1239592501348398</v>
      </c>
      <c r="AF6" s="1201"/>
      <c r="AG6" s="1052"/>
    </row>
    <row r="7" spans="1:33" s="1112" customFormat="1" ht="105">
      <c r="A7" s="1050">
        <v>6</v>
      </c>
      <c r="B7" s="1050" t="s">
        <v>2989</v>
      </c>
      <c r="C7" s="1051" t="s">
        <v>2990</v>
      </c>
      <c r="D7" s="1050">
        <v>4275000</v>
      </c>
      <c r="E7" s="1050">
        <f t="shared" si="3"/>
        <v>5890363.2551806401</v>
      </c>
      <c r="F7" s="1050">
        <f t="shared" si="0"/>
        <v>10165363.25518064</v>
      </c>
      <c r="G7" s="1050">
        <v>4275000</v>
      </c>
      <c r="H7" s="1050">
        <v>3675000</v>
      </c>
      <c r="I7" s="1050"/>
      <c r="J7" s="1050">
        <f t="shared" si="1"/>
        <v>3675000</v>
      </c>
      <c r="K7" s="1106">
        <f>350000+100000+100000+145000+150000+300000+85000+45000+90000+190000+70000+100000+100000+850000+50000+50000+200000+400000+500000</f>
        <v>3875000</v>
      </c>
      <c r="L7" s="1106">
        <v>2775000</v>
      </c>
      <c r="M7" s="1107">
        <f>+K7-L7</f>
        <v>1100000</v>
      </c>
      <c r="N7" s="1106">
        <f>350000+100000+100000+145000+150000+300000+85000+45000+90000+190000+70000+100000+100000+850000+200000</f>
        <v>2875000</v>
      </c>
      <c r="O7" s="1051" t="s">
        <v>3170</v>
      </c>
      <c r="P7" s="1050"/>
      <c r="Q7" s="1050"/>
      <c r="R7" s="1108">
        <v>41331</v>
      </c>
      <c r="S7" s="1755">
        <f>R7+(365*3)+2</f>
        <v>42428</v>
      </c>
      <c r="T7" s="1755"/>
      <c r="U7" s="1050">
        <f>($X$1-S7)/365</f>
        <v>2.6794520547945204</v>
      </c>
      <c r="V7" s="1110">
        <f t="shared" si="4"/>
        <v>10.717808219178082</v>
      </c>
      <c r="W7" s="1050">
        <f>$N$7*$U$7*8/100</f>
        <v>616273.9726027397</v>
      </c>
      <c r="X7" s="1050">
        <f>$N$7*$U$7*18/100</f>
        <v>1386616.4383561644</v>
      </c>
      <c r="Y7" s="1111">
        <f t="shared" si="5"/>
        <v>916372.60273972596</v>
      </c>
      <c r="Z7" s="1111">
        <f t="shared" si="6"/>
        <v>787758.90410958906</v>
      </c>
      <c r="AA7" s="1050">
        <f t="shared" si="7"/>
        <v>5062758.9041095888</v>
      </c>
      <c r="AB7" s="1050">
        <f>+H7*(1+18%/4)^V7</f>
        <v>5890363.2551806401</v>
      </c>
      <c r="AC7" s="1050">
        <v>200000</v>
      </c>
      <c r="AD7" s="1050">
        <v>100000</v>
      </c>
      <c r="AE7" s="1050">
        <f t="shared" si="8"/>
        <v>10465363.25518064</v>
      </c>
      <c r="AF7" s="1200"/>
      <c r="AG7" s="1050"/>
    </row>
    <row r="8" spans="1:33" s="1124" customFormat="1" ht="30">
      <c r="A8" s="1053">
        <v>7</v>
      </c>
      <c r="B8" s="1053" t="s">
        <v>2991</v>
      </c>
      <c r="C8" s="1054" t="s">
        <v>2992</v>
      </c>
      <c r="D8" s="1053">
        <v>1180208</v>
      </c>
      <c r="E8" s="1053">
        <f t="shared" si="3"/>
        <v>1808674.3716046035</v>
      </c>
      <c r="F8" s="1053">
        <f t="shared" si="0"/>
        <v>2988882.3716046037</v>
      </c>
      <c r="G8" s="1053">
        <v>1180208</v>
      </c>
      <c r="H8" s="1053">
        <f>+K8</f>
        <v>1180208</v>
      </c>
      <c r="I8" s="1053"/>
      <c r="J8" s="1053">
        <f t="shared" si="1"/>
        <v>1180208</v>
      </c>
      <c r="K8" s="1118">
        <f>300000+496189+384019</f>
        <v>1180208</v>
      </c>
      <c r="L8" s="1118">
        <v>0</v>
      </c>
      <c r="M8" s="1118">
        <f t="shared" si="2"/>
        <v>1180208</v>
      </c>
      <c r="N8" s="1118">
        <f>496189+384019</f>
        <v>880208</v>
      </c>
      <c r="O8" s="1053" t="s">
        <v>3171</v>
      </c>
      <c r="P8" s="1053"/>
      <c r="Q8" s="1053"/>
      <c r="R8" s="1120">
        <v>41424</v>
      </c>
      <c r="S8" s="1754">
        <f>R8+(365*3)+2</f>
        <v>42521</v>
      </c>
      <c r="T8" s="1754"/>
      <c r="U8" s="1053">
        <f>($X$1-S8)/365</f>
        <v>2.4246575342465753</v>
      </c>
      <c r="V8" s="1122">
        <f t="shared" si="4"/>
        <v>9.6986301369863011</v>
      </c>
      <c r="W8" s="1053">
        <f>$H$8*$U$8*8/100</f>
        <v>228928.01753424655</v>
      </c>
      <c r="X8" s="1053">
        <f>$K$8*$U$8*18/100</f>
        <v>515088.03945205471</v>
      </c>
      <c r="Y8" s="1123">
        <f t="shared" si="5"/>
        <v>228928.01753424658</v>
      </c>
      <c r="Z8" s="1123">
        <f t="shared" si="6"/>
        <v>228928.01753424658</v>
      </c>
      <c r="AA8" s="1053">
        <f t="shared" si="7"/>
        <v>1409136.0175342467</v>
      </c>
      <c r="AB8" s="1053">
        <f>+H8*(1+18%/4)^V8</f>
        <v>1808674.3716046035</v>
      </c>
      <c r="AC8" s="1053">
        <v>200000</v>
      </c>
      <c r="AD8" s="1053">
        <v>100000</v>
      </c>
      <c r="AE8" s="1053">
        <f t="shared" si="8"/>
        <v>3288882.3716046037</v>
      </c>
      <c r="AF8" s="1202"/>
      <c r="AG8" s="1053"/>
    </row>
    <row r="9" spans="1:33">
      <c r="A9" s="1056">
        <v>8</v>
      </c>
      <c r="B9" s="1056" t="s">
        <v>2993</v>
      </c>
      <c r="C9" s="1057" t="s">
        <v>2994</v>
      </c>
      <c r="D9" s="1056">
        <v>4432655</v>
      </c>
      <c r="E9" s="1056">
        <f t="shared" si="3"/>
        <v>0</v>
      </c>
      <c r="F9" s="1056">
        <f t="shared" si="0"/>
        <v>4432655</v>
      </c>
      <c r="G9" s="1056">
        <v>4432655</v>
      </c>
      <c r="H9" s="1056">
        <v>2000000</v>
      </c>
      <c r="I9" s="1056"/>
      <c r="J9" s="1056">
        <f t="shared" si="1"/>
        <v>2000000</v>
      </c>
      <c r="K9" s="1126">
        <f>2000000+432655+2000000</f>
        <v>4432655</v>
      </c>
      <c r="L9" s="1126">
        <f>432655+2000000</f>
        <v>2432655</v>
      </c>
      <c r="M9" s="1126">
        <f t="shared" si="2"/>
        <v>2000000</v>
      </c>
      <c r="N9" s="1126">
        <f>2000000</f>
        <v>2000000</v>
      </c>
      <c r="O9" s="1056" t="s">
        <v>3172</v>
      </c>
      <c r="P9" s="1056"/>
      <c r="Q9" s="1056"/>
      <c r="R9" s="1127">
        <v>41349</v>
      </c>
      <c r="S9" s="1753">
        <f>R9+(365*3)+2</f>
        <v>42446</v>
      </c>
      <c r="T9" s="1753"/>
      <c r="U9" s="1056">
        <f>($X$1-S9)/365</f>
        <v>2.6301369863013697</v>
      </c>
      <c r="V9" s="1198">
        <f t="shared" si="4"/>
        <v>10.520547945205479</v>
      </c>
      <c r="W9" s="1056">
        <f>$K$9*$U$9*8/100</f>
        <v>932679.18904109579</v>
      </c>
      <c r="X9" s="1056">
        <f>$K$9*$U$9*18/100</f>
        <v>2098528.1753424658</v>
      </c>
      <c r="Y9" s="1128">
        <f t="shared" si="5"/>
        <v>932679.1890410959</v>
      </c>
      <c r="Z9" s="1128">
        <f t="shared" si="6"/>
        <v>420821.91780821915</v>
      </c>
      <c r="AA9" s="1056">
        <f t="shared" si="7"/>
        <v>4853476.9178082189</v>
      </c>
      <c r="AB9" s="1056">
        <v>0</v>
      </c>
      <c r="AC9" s="1056">
        <v>200000</v>
      </c>
      <c r="AD9" s="1056">
        <v>100000</v>
      </c>
      <c r="AE9" s="1056">
        <f t="shared" si="8"/>
        <v>4732655</v>
      </c>
      <c r="AF9" s="1203"/>
    </row>
    <row r="10" spans="1:33" s="1117" customFormat="1">
      <c r="A10" s="1052">
        <v>9</v>
      </c>
      <c r="B10" s="1052" t="s">
        <v>2995</v>
      </c>
      <c r="C10" s="1055" t="s">
        <v>2996</v>
      </c>
      <c r="D10" s="1052">
        <v>3371783</v>
      </c>
      <c r="E10" s="1052">
        <f t="shared" si="3"/>
        <v>0</v>
      </c>
      <c r="F10" s="1052">
        <f>D10+E10</f>
        <v>3371783</v>
      </c>
      <c r="G10" s="1052">
        <v>3371783</v>
      </c>
      <c r="H10" s="1052"/>
      <c r="I10" s="1052"/>
      <c r="J10" s="1052">
        <f t="shared" si="1"/>
        <v>0</v>
      </c>
      <c r="K10" s="1113">
        <f>1570049+1000000+234657+66914+100163+400000</f>
        <v>3371783</v>
      </c>
      <c r="L10" s="1113">
        <f>+K10-400000</f>
        <v>2971783</v>
      </c>
      <c r="M10" s="1113">
        <f t="shared" si="2"/>
        <v>400000</v>
      </c>
      <c r="N10" s="1113">
        <f>1570049+1000000+234657+66914+100163</f>
        <v>2971783</v>
      </c>
      <c r="O10" s="1052" t="s">
        <v>3173</v>
      </c>
      <c r="P10" s="1052"/>
      <c r="Q10" s="1052"/>
      <c r="R10" s="1114"/>
      <c r="S10" s="1752"/>
      <c r="T10" s="1752"/>
      <c r="U10" s="1052"/>
      <c r="V10" s="1115">
        <f t="shared" si="4"/>
        <v>475.68219178082194</v>
      </c>
      <c r="W10" s="1052"/>
      <c r="X10" s="1052"/>
      <c r="Y10" s="1116">
        <f t="shared" si="5"/>
        <v>0</v>
      </c>
      <c r="Z10" s="1116">
        <f t="shared" si="6"/>
        <v>0</v>
      </c>
      <c r="AA10" s="1052">
        <f t="shared" si="7"/>
        <v>3371783</v>
      </c>
      <c r="AB10" s="1052">
        <f t="shared" ref="AB10:AB30" si="9">+H10*(1+18%/4)^V10</f>
        <v>0</v>
      </c>
      <c r="AC10" s="1052">
        <v>200000</v>
      </c>
      <c r="AD10" s="1052">
        <v>100000</v>
      </c>
      <c r="AE10" s="1052">
        <f t="shared" si="8"/>
        <v>3671783</v>
      </c>
      <c r="AF10" s="1201"/>
      <c r="AG10" s="1052"/>
    </row>
    <row r="11" spans="1:33" s="1124" customFormat="1">
      <c r="A11" s="1053">
        <v>10</v>
      </c>
      <c r="B11" s="1053" t="s">
        <v>2997</v>
      </c>
      <c r="C11" s="1054" t="s">
        <v>2998</v>
      </c>
      <c r="D11" s="1053">
        <v>1550000</v>
      </c>
      <c r="E11" s="1053">
        <f t="shared" si="3"/>
        <v>2141373.4124017637</v>
      </c>
      <c r="F11" s="1053">
        <f t="shared" ref="F11:F76" si="10">D11+E11</f>
        <v>3691373.4124017637</v>
      </c>
      <c r="G11" s="1053">
        <v>1550000</v>
      </c>
      <c r="H11" s="1053">
        <f>+K11</f>
        <v>1550000</v>
      </c>
      <c r="I11" s="1053"/>
      <c r="J11" s="1053">
        <f t="shared" si="1"/>
        <v>1550000</v>
      </c>
      <c r="K11" s="1118">
        <f>300000+500000+500000+250000</f>
        <v>1550000</v>
      </c>
      <c r="L11" s="1118">
        <v>0</v>
      </c>
      <c r="M11" s="1118">
        <f t="shared" si="2"/>
        <v>1550000</v>
      </c>
      <c r="N11" s="1118">
        <v>500000</v>
      </c>
      <c r="O11" s="1053" t="s">
        <v>3174</v>
      </c>
      <c r="P11" s="1053"/>
      <c r="Q11" s="1053"/>
      <c r="R11" s="1120">
        <v>41639</v>
      </c>
      <c r="S11" s="1754">
        <f>R11+(365*3)+2</f>
        <v>42736</v>
      </c>
      <c r="T11" s="1754"/>
      <c r="U11" s="1053">
        <f>($X$1-S11)/365</f>
        <v>1.8356164383561644</v>
      </c>
      <c r="V11" s="1122">
        <f t="shared" si="4"/>
        <v>7.3424657534246576</v>
      </c>
      <c r="W11" s="1053">
        <f>$K$11*$U$11*8/100</f>
        <v>227616.43835616441</v>
      </c>
      <c r="X11" s="1053">
        <f>$K$11*$U$11*18/100</f>
        <v>512136.98630136991</v>
      </c>
      <c r="Y11" s="1123">
        <f t="shared" si="5"/>
        <v>227616.43835616438</v>
      </c>
      <c r="Z11" s="1123">
        <f t="shared" si="6"/>
        <v>227616.43835616438</v>
      </c>
      <c r="AA11" s="1053">
        <f t="shared" si="7"/>
        <v>1777616.4383561644</v>
      </c>
      <c r="AB11" s="1053">
        <f t="shared" si="9"/>
        <v>2141373.4124017637</v>
      </c>
      <c r="AC11" s="1053">
        <v>200000</v>
      </c>
      <c r="AD11" s="1053">
        <v>100000</v>
      </c>
      <c r="AE11" s="1053">
        <f t="shared" si="8"/>
        <v>3991373.4124017637</v>
      </c>
      <c r="AF11" s="1202"/>
      <c r="AG11" s="1053"/>
    </row>
    <row r="12" spans="1:33" ht="30">
      <c r="A12" s="1056">
        <v>11</v>
      </c>
      <c r="B12" s="1058" t="s">
        <v>2999</v>
      </c>
      <c r="C12" s="1057" t="s">
        <v>3000</v>
      </c>
      <c r="D12" s="1056">
        <v>1014242</v>
      </c>
      <c r="E12" s="1056">
        <f t="shared" si="3"/>
        <v>0</v>
      </c>
      <c r="F12" s="1056">
        <f t="shared" si="10"/>
        <v>1014242</v>
      </c>
      <c r="G12" s="1056">
        <v>1014242</v>
      </c>
      <c r="H12" s="1056"/>
      <c r="I12" s="1056"/>
      <c r="J12" s="1056">
        <f t="shared" si="1"/>
        <v>0</v>
      </c>
      <c r="K12" s="1126">
        <f>10000+400000+400000+204242</f>
        <v>1014242</v>
      </c>
      <c r="L12" s="1126">
        <v>1004242</v>
      </c>
      <c r="M12" s="1126">
        <f t="shared" si="2"/>
        <v>10000</v>
      </c>
      <c r="N12" s="1126">
        <f>10000+400000+400000+204242</f>
        <v>1014242</v>
      </c>
      <c r="O12" s="1056" t="s">
        <v>3175</v>
      </c>
      <c r="P12" s="1056"/>
      <c r="Q12" s="1056"/>
      <c r="R12" s="1127">
        <v>42152</v>
      </c>
      <c r="S12" s="1753">
        <f>R12+(365*3)+2</f>
        <v>43249</v>
      </c>
      <c r="T12" s="1753"/>
      <c r="U12" s="1056">
        <f>($X$1-S12)/365</f>
        <v>0.43013698630136987</v>
      </c>
      <c r="V12" s="1198">
        <f t="shared" si="4"/>
        <v>1.7205479452054795</v>
      </c>
      <c r="W12" s="1056">
        <f>$K$12*$U$12*8/100</f>
        <v>34901.039780821913</v>
      </c>
      <c r="X12" s="1056">
        <f>$K$12*$U$12*18/100</f>
        <v>78527.339506849312</v>
      </c>
      <c r="Y12" s="1128">
        <f t="shared" si="5"/>
        <v>34901.03978082192</v>
      </c>
      <c r="Z12" s="1128">
        <f t="shared" si="6"/>
        <v>0</v>
      </c>
      <c r="AA12" s="1056">
        <f t="shared" si="7"/>
        <v>1014242</v>
      </c>
      <c r="AB12" s="1056">
        <f t="shared" si="9"/>
        <v>0</v>
      </c>
      <c r="AC12" s="1056">
        <v>200000</v>
      </c>
      <c r="AD12" s="1056">
        <v>100000</v>
      </c>
      <c r="AE12" s="1056">
        <f t="shared" si="8"/>
        <v>1314242</v>
      </c>
      <c r="AF12" s="1203"/>
    </row>
    <row r="13" spans="1:33" s="1117" customFormat="1" ht="30">
      <c r="A13" s="1052">
        <v>12</v>
      </c>
      <c r="B13" s="1052" t="s">
        <v>3001</v>
      </c>
      <c r="C13" s="1055" t="s">
        <v>3002</v>
      </c>
      <c r="D13" s="1052">
        <v>2250000</v>
      </c>
      <c r="E13" s="1052">
        <f t="shared" si="3"/>
        <v>1338503.9332780107</v>
      </c>
      <c r="F13" s="1052">
        <f t="shared" si="10"/>
        <v>3588503.9332780107</v>
      </c>
      <c r="G13" s="1052">
        <v>2250000</v>
      </c>
      <c r="H13" s="1052">
        <v>800000</v>
      </c>
      <c r="I13" s="1052"/>
      <c r="J13" s="1052">
        <f t="shared" si="1"/>
        <v>800000</v>
      </c>
      <c r="K13" s="1113">
        <f>300000+500000</f>
        <v>800000</v>
      </c>
      <c r="L13" s="1113">
        <v>800000</v>
      </c>
      <c r="M13" s="1113">
        <f t="shared" si="2"/>
        <v>0</v>
      </c>
      <c r="N13" s="1113">
        <v>2250000</v>
      </c>
      <c r="O13" s="1052" t="s">
        <v>3176</v>
      </c>
      <c r="P13" s="1052"/>
      <c r="Q13" s="1052"/>
      <c r="R13" s="1114">
        <v>41242</v>
      </c>
      <c r="S13" s="1752">
        <f>R13+(365*3)+2</f>
        <v>42339</v>
      </c>
      <c r="T13" s="1752"/>
      <c r="U13" s="1052">
        <f>($X$1-S13)/365</f>
        <v>2.9232876712328766</v>
      </c>
      <c r="V13" s="1115">
        <f t="shared" si="4"/>
        <v>11.693150684931506</v>
      </c>
      <c r="W13" s="1052">
        <f>K13*U13*8/100</f>
        <v>187090.4109589041</v>
      </c>
      <c r="X13" s="1052">
        <f>K13*U13*18/100</f>
        <v>420953.42465753423</v>
      </c>
      <c r="Y13" s="1116">
        <f t="shared" si="5"/>
        <v>526191.78082191781</v>
      </c>
      <c r="Z13" s="1116">
        <f t="shared" si="6"/>
        <v>187090.4109589041</v>
      </c>
      <c r="AA13" s="1052">
        <f t="shared" si="7"/>
        <v>2437090.4109589043</v>
      </c>
      <c r="AB13" s="1052">
        <f t="shared" si="9"/>
        <v>1338503.9332780107</v>
      </c>
      <c r="AC13" s="1052">
        <v>200000</v>
      </c>
      <c r="AD13" s="1052">
        <v>100000</v>
      </c>
      <c r="AE13" s="1052">
        <f t="shared" si="8"/>
        <v>3888503.9332780107</v>
      </c>
      <c r="AF13" s="1201"/>
      <c r="AG13" s="1052"/>
    </row>
    <row r="14" spans="1:33" s="1117" customFormat="1">
      <c r="A14" s="1052">
        <v>13</v>
      </c>
      <c r="B14" s="1052" t="s">
        <v>3003</v>
      </c>
      <c r="C14" s="1055" t="s">
        <v>3004</v>
      </c>
      <c r="D14" s="1052">
        <v>4309743</v>
      </c>
      <c r="E14" s="1052">
        <f t="shared" si="3"/>
        <v>0</v>
      </c>
      <c r="F14" s="1052">
        <f t="shared" si="10"/>
        <v>4309743</v>
      </c>
      <c r="G14" s="1052">
        <v>4309743</v>
      </c>
      <c r="H14" s="1052"/>
      <c r="I14" s="1052"/>
      <c r="J14" s="1052">
        <f t="shared" si="1"/>
        <v>0</v>
      </c>
      <c r="K14" s="1113">
        <f>500000+460000+234001+500000+500000+500000+588867</f>
        <v>3282868</v>
      </c>
      <c r="L14" s="1113">
        <v>3282868</v>
      </c>
      <c r="M14" s="1113">
        <f t="shared" si="2"/>
        <v>0</v>
      </c>
      <c r="N14" s="1113">
        <f>234001+500000+500000+500000+588867</f>
        <v>2322868</v>
      </c>
      <c r="O14" s="1052" t="s">
        <v>3175</v>
      </c>
      <c r="P14" s="1052"/>
      <c r="Q14" s="1052"/>
      <c r="R14" s="1114"/>
      <c r="S14" s="1752"/>
      <c r="T14" s="1752"/>
      <c r="U14" s="1052"/>
      <c r="V14" s="1115">
        <f t="shared" si="4"/>
        <v>475.68219178082194</v>
      </c>
      <c r="W14" s="1052"/>
      <c r="X14" s="1052"/>
      <c r="Y14" s="1116">
        <f t="shared" si="5"/>
        <v>0</v>
      </c>
      <c r="Z14" s="1116">
        <f t="shared" si="6"/>
        <v>0</v>
      </c>
      <c r="AA14" s="1052">
        <f t="shared" si="7"/>
        <v>4309743</v>
      </c>
      <c r="AB14" s="1052">
        <f t="shared" si="9"/>
        <v>0</v>
      </c>
      <c r="AC14" s="1052">
        <v>200000</v>
      </c>
      <c r="AD14" s="1052">
        <v>100000</v>
      </c>
      <c r="AE14" s="1052">
        <f t="shared" si="8"/>
        <v>4609743</v>
      </c>
      <c r="AF14" s="1201"/>
      <c r="AG14" s="1052"/>
    </row>
    <row r="15" spans="1:33">
      <c r="A15" s="1056">
        <v>14</v>
      </c>
      <c r="B15" s="1056" t="s">
        <v>3005</v>
      </c>
      <c r="C15" s="1057" t="s">
        <v>3006</v>
      </c>
      <c r="D15" s="1056">
        <v>989840</v>
      </c>
      <c r="E15" s="1056">
        <f t="shared" si="3"/>
        <v>0</v>
      </c>
      <c r="F15" s="1056">
        <f t="shared" si="10"/>
        <v>989840</v>
      </c>
      <c r="G15" s="1056">
        <v>989840</v>
      </c>
      <c r="H15" s="1056"/>
      <c r="I15" s="1056"/>
      <c r="J15" s="1056">
        <f t="shared" si="1"/>
        <v>0</v>
      </c>
      <c r="K15" s="1126">
        <f>300000+400000+289840</f>
        <v>989840</v>
      </c>
      <c r="L15" s="1130">
        <v>400000</v>
      </c>
      <c r="M15" s="1126">
        <f>989840-400000</f>
        <v>589840</v>
      </c>
      <c r="N15" s="1126"/>
      <c r="O15" s="1056" t="s">
        <v>3177</v>
      </c>
      <c r="P15" s="1056"/>
      <c r="Q15" s="1056"/>
      <c r="R15" s="1127">
        <v>41953</v>
      </c>
      <c r="S15" s="1753">
        <f>R15+(365*3)+2</f>
        <v>43050</v>
      </c>
      <c r="T15" s="1753"/>
      <c r="U15" s="1056">
        <f>($X$1-S15)/365</f>
        <v>0.97534246575342465</v>
      </c>
      <c r="V15" s="1198">
        <f t="shared" si="4"/>
        <v>3.9013698630136986</v>
      </c>
      <c r="W15" s="1056">
        <f>K15*U15*8/100</f>
        <v>77234.638904109583</v>
      </c>
      <c r="X15" s="1056">
        <f>K15*U15*18/100</f>
        <v>173777.93753424656</v>
      </c>
      <c r="Y15" s="1128">
        <f t="shared" si="5"/>
        <v>77234.638904109583</v>
      </c>
      <c r="Z15" s="1128">
        <f t="shared" si="6"/>
        <v>0</v>
      </c>
      <c r="AA15" s="1056">
        <f t="shared" si="7"/>
        <v>989840</v>
      </c>
      <c r="AB15" s="1056">
        <f t="shared" si="9"/>
        <v>0</v>
      </c>
      <c r="AC15" s="1056">
        <v>200000</v>
      </c>
      <c r="AD15" s="1056">
        <v>100000</v>
      </c>
      <c r="AE15" s="1056">
        <f t="shared" si="8"/>
        <v>1289840</v>
      </c>
      <c r="AF15" s="1203"/>
    </row>
    <row r="16" spans="1:33" s="1117" customFormat="1" ht="30">
      <c r="A16" s="1052">
        <v>15</v>
      </c>
      <c r="B16" s="1052" t="s">
        <v>3007</v>
      </c>
      <c r="C16" s="1055" t="s">
        <v>3008</v>
      </c>
      <c r="D16" s="1052">
        <v>1140000</v>
      </c>
      <c r="E16" s="1052">
        <f t="shared" si="3"/>
        <v>743755497691183.75</v>
      </c>
      <c r="F16" s="1052">
        <f t="shared" si="10"/>
        <v>743755498831183.75</v>
      </c>
      <c r="G16" s="1052">
        <v>540000</v>
      </c>
      <c r="H16" s="1052">
        <f>+L16</f>
        <v>600000</v>
      </c>
      <c r="I16" s="1052"/>
      <c r="J16" s="1052">
        <f t="shared" si="1"/>
        <v>600000</v>
      </c>
      <c r="K16" s="1113">
        <f>40000+500000+600000</f>
        <v>1140000</v>
      </c>
      <c r="L16" s="1113">
        <v>600000</v>
      </c>
      <c r="M16" s="1113">
        <f t="shared" si="2"/>
        <v>540000</v>
      </c>
      <c r="N16" s="1113">
        <f>40000+500000+600000</f>
        <v>1140000</v>
      </c>
      <c r="O16" s="1131">
        <v>41647</v>
      </c>
      <c r="P16" s="1052"/>
      <c r="Q16" s="1052"/>
      <c r="R16" s="1114"/>
      <c r="S16" s="1752"/>
      <c r="T16" s="1752"/>
      <c r="U16" s="1052"/>
      <c r="V16" s="1115">
        <f t="shared" si="4"/>
        <v>475.68219178082194</v>
      </c>
      <c r="W16" s="1052"/>
      <c r="X16" s="1052"/>
      <c r="Y16" s="1116">
        <f t="shared" si="5"/>
        <v>0</v>
      </c>
      <c r="Z16" s="1116">
        <f t="shared" si="6"/>
        <v>0</v>
      </c>
      <c r="AA16" s="1052">
        <f t="shared" si="7"/>
        <v>1140000</v>
      </c>
      <c r="AB16" s="1052">
        <f t="shared" si="9"/>
        <v>743755497691183.75</v>
      </c>
      <c r="AC16" s="1052">
        <v>200000</v>
      </c>
      <c r="AD16" s="1052">
        <v>100000</v>
      </c>
      <c r="AE16" s="1052">
        <f t="shared" si="8"/>
        <v>743755499131183.75</v>
      </c>
      <c r="AF16" s="1201"/>
      <c r="AG16" s="1052"/>
    </row>
    <row r="17" spans="1:33" s="1112" customFormat="1">
      <c r="A17" s="1050">
        <v>16</v>
      </c>
      <c r="B17" s="1050" t="s">
        <v>3009</v>
      </c>
      <c r="C17" s="1051" t="s">
        <v>3010</v>
      </c>
      <c r="D17" s="1050">
        <v>3500000</v>
      </c>
      <c r="E17" s="1050">
        <f t="shared" si="3"/>
        <v>4126928.7062731832</v>
      </c>
      <c r="F17" s="1050">
        <f t="shared" si="10"/>
        <v>7626928.7062731832</v>
      </c>
      <c r="G17" s="1050">
        <v>2086000</v>
      </c>
      <c r="H17" s="1050">
        <v>3150000</v>
      </c>
      <c r="I17" s="1050"/>
      <c r="J17" s="1050">
        <f t="shared" si="1"/>
        <v>3150000</v>
      </c>
      <c r="K17" s="1107">
        <f>400000+350000+108750+100000+100000+100000+100000+198750+110000+68500+250000+1158000+300000+70500+85500</f>
        <v>3500000</v>
      </c>
      <c r="L17" s="1106">
        <v>1158000</v>
      </c>
      <c r="M17" s="1107">
        <f>+K17-L17</f>
        <v>2342000</v>
      </c>
      <c r="N17" s="1107">
        <f>108750+100000+100000+100000+100000+198750+110000+68500+250000+1158000+300000+70500+85500</f>
        <v>2750000</v>
      </c>
      <c r="O17" s="1132">
        <v>41978</v>
      </c>
      <c r="P17" s="1050"/>
      <c r="Q17" s="1050"/>
      <c r="R17" s="1108">
        <v>41749</v>
      </c>
      <c r="S17" s="1755">
        <f>R17+(365*3)+2</f>
        <v>42846</v>
      </c>
      <c r="T17" s="1755"/>
      <c r="U17" s="1050">
        <f>($X$1-S17)/365</f>
        <v>1.5342465753424657</v>
      </c>
      <c r="V17" s="1110">
        <f t="shared" si="4"/>
        <v>6.1369863013698627</v>
      </c>
      <c r="W17" s="1050">
        <f>$K$17*$U$17*8/100</f>
        <v>429589.0410958904</v>
      </c>
      <c r="X17" s="1050">
        <f>$K$17*$U$17*18/100</f>
        <v>966575.34246575343</v>
      </c>
      <c r="Y17" s="1111">
        <f t="shared" si="5"/>
        <v>429589.0410958904</v>
      </c>
      <c r="Z17" s="1111">
        <f t="shared" si="6"/>
        <v>386630.13698630134</v>
      </c>
      <c r="AA17" s="1050">
        <f t="shared" si="7"/>
        <v>3886630.1369863013</v>
      </c>
      <c r="AB17" s="1050">
        <f t="shared" si="9"/>
        <v>4126928.7062731832</v>
      </c>
      <c r="AC17" s="1050">
        <v>200000</v>
      </c>
      <c r="AD17" s="1050">
        <v>100000</v>
      </c>
      <c r="AE17" s="1050">
        <f t="shared" si="8"/>
        <v>7926928.7062731832</v>
      </c>
      <c r="AF17" s="1200"/>
      <c r="AG17" s="1050"/>
    </row>
    <row r="18" spans="1:33" s="1124" customFormat="1" ht="30">
      <c r="A18" s="1053">
        <v>17</v>
      </c>
      <c r="B18" s="1053" t="s">
        <v>3011</v>
      </c>
      <c r="C18" s="1054" t="s">
        <v>3012</v>
      </c>
      <c r="D18" s="1053">
        <v>1500000</v>
      </c>
      <c r="E18" s="1053">
        <f t="shared" si="3"/>
        <v>2128012.205882383</v>
      </c>
      <c r="F18" s="1053">
        <f t="shared" si="10"/>
        <v>3628012.205882383</v>
      </c>
      <c r="G18" s="1053">
        <v>1500000</v>
      </c>
      <c r="H18" s="1053">
        <f>+K18</f>
        <v>1500000</v>
      </c>
      <c r="I18" s="1053">
        <f t="shared" ref="I18:I24" si="11">+W18</f>
        <v>238356.16438356164</v>
      </c>
      <c r="J18" s="1053">
        <f t="shared" si="1"/>
        <v>1738356.1643835616</v>
      </c>
      <c r="K18" s="1118">
        <f>100000+600000+100000+300000+400000</f>
        <v>1500000</v>
      </c>
      <c r="L18" s="1118">
        <v>0</v>
      </c>
      <c r="M18" s="1118">
        <f t="shared" si="2"/>
        <v>1500000</v>
      </c>
      <c r="N18" s="1118">
        <f>100000+600000+100000+300000+400000</f>
        <v>1500000</v>
      </c>
      <c r="O18" s="1119">
        <v>41466</v>
      </c>
      <c r="P18" s="1053"/>
      <c r="Q18" s="1053"/>
      <c r="R18" s="1120">
        <v>41584</v>
      </c>
      <c r="S18" s="1754">
        <f>R18+(365*3)+2</f>
        <v>42681</v>
      </c>
      <c r="T18" s="1754"/>
      <c r="U18" s="1053">
        <f>($X$1-S18)/365</f>
        <v>1.9863013698630136</v>
      </c>
      <c r="V18" s="1122">
        <f t="shared" si="4"/>
        <v>7.9452054794520546</v>
      </c>
      <c r="W18" s="1053">
        <f>$H$18*$U$18*8/100</f>
        <v>238356.16438356164</v>
      </c>
      <c r="X18" s="1053">
        <f>$K$18*$U$18*18/100</f>
        <v>536301.36986301374</v>
      </c>
      <c r="Y18" s="1123">
        <f t="shared" si="5"/>
        <v>238356.16438356164</v>
      </c>
      <c r="Z18" s="1123">
        <f t="shared" si="6"/>
        <v>238356.16438356164</v>
      </c>
      <c r="AA18" s="1053">
        <f t="shared" si="7"/>
        <v>1738356.1643835616</v>
      </c>
      <c r="AB18" s="1053">
        <f t="shared" si="9"/>
        <v>2128012.205882383</v>
      </c>
      <c r="AC18" s="1053">
        <v>200000</v>
      </c>
      <c r="AD18" s="1053">
        <v>100000</v>
      </c>
      <c r="AE18" s="1053">
        <f t="shared" si="8"/>
        <v>3928012.205882383</v>
      </c>
      <c r="AF18" s="1202"/>
      <c r="AG18" s="1053"/>
    </row>
    <row r="19" spans="1:33" s="1124" customFormat="1" ht="30">
      <c r="A19" s="1053">
        <v>18</v>
      </c>
      <c r="B19" s="1053" t="s">
        <v>3013</v>
      </c>
      <c r="C19" s="1054" t="s">
        <v>3014</v>
      </c>
      <c r="D19" s="1053">
        <v>2300000</v>
      </c>
      <c r="E19" s="1053">
        <f t="shared" si="3"/>
        <v>3378269.0186137338</v>
      </c>
      <c r="F19" s="1053">
        <f t="shared" si="10"/>
        <v>5678269.0186137334</v>
      </c>
      <c r="G19" s="1053">
        <v>2300000</v>
      </c>
      <c r="H19" s="1053">
        <v>2300000</v>
      </c>
      <c r="I19" s="1053">
        <f t="shared" si="11"/>
        <v>446136.98630136979</v>
      </c>
      <c r="J19" s="1053">
        <f t="shared" si="1"/>
        <v>2746136.98630137</v>
      </c>
      <c r="K19" s="1118">
        <f>150000+300000+300000+650000+900000</f>
        <v>2300000</v>
      </c>
      <c r="L19" s="1118">
        <v>0</v>
      </c>
      <c r="M19" s="1118">
        <f t="shared" si="2"/>
        <v>2300000</v>
      </c>
      <c r="N19" s="1118">
        <f>650000+900000</f>
        <v>1550000</v>
      </c>
      <c r="O19" s="1119">
        <v>41434</v>
      </c>
      <c r="P19" s="1122">
        <v>3264619000009</v>
      </c>
      <c r="Q19" s="1122">
        <v>1550000</v>
      </c>
      <c r="R19" s="1120">
        <v>41424</v>
      </c>
      <c r="S19" s="1754">
        <f>R19+(365*3)+2</f>
        <v>42521</v>
      </c>
      <c r="T19" s="1754"/>
      <c r="U19" s="1053">
        <f>($X$1-S19)/365</f>
        <v>2.4246575342465753</v>
      </c>
      <c r="V19" s="1122">
        <f t="shared" si="4"/>
        <v>9.6986301369863011</v>
      </c>
      <c r="W19" s="1053">
        <f>$H$19*$U$19*8/100</f>
        <v>446136.98630136979</v>
      </c>
      <c r="X19" s="1053">
        <f>$K$19*$U$19*18/100</f>
        <v>1003808.2191780821</v>
      </c>
      <c r="Y19" s="1123">
        <f t="shared" si="5"/>
        <v>446136.98630136985</v>
      </c>
      <c r="Z19" s="1123">
        <f t="shared" si="6"/>
        <v>446136.98630136985</v>
      </c>
      <c r="AA19" s="1053">
        <f t="shared" si="7"/>
        <v>2746136.98630137</v>
      </c>
      <c r="AB19" s="1053">
        <v>3378269.0186137338</v>
      </c>
      <c r="AC19" s="1053">
        <v>200000</v>
      </c>
      <c r="AD19" s="1053">
        <v>100000</v>
      </c>
      <c r="AE19" s="1053">
        <f t="shared" si="8"/>
        <v>5978269.0186137334</v>
      </c>
      <c r="AF19" s="1202"/>
      <c r="AG19" s="1053"/>
    </row>
    <row r="20" spans="1:33" s="1124" customFormat="1" ht="60">
      <c r="A20" s="1053">
        <v>19</v>
      </c>
      <c r="B20" s="1053" t="s">
        <v>3015</v>
      </c>
      <c r="C20" s="1054" t="s">
        <v>3016</v>
      </c>
      <c r="D20" s="1053">
        <v>8350000</v>
      </c>
      <c r="E20" s="1053">
        <f t="shared" si="3"/>
        <v>13115126.365392126</v>
      </c>
      <c r="F20" s="1053">
        <f t="shared" si="10"/>
        <v>21465126.365392126</v>
      </c>
      <c r="G20" s="1053">
        <v>8350000</v>
      </c>
      <c r="H20" s="1053">
        <f>+K20</f>
        <v>8350000</v>
      </c>
      <c r="I20" s="1053">
        <f t="shared" si="11"/>
        <v>1713008.2191780824</v>
      </c>
      <c r="J20" s="1053">
        <f t="shared" si="1"/>
        <v>10063008.219178082</v>
      </c>
      <c r="K20" s="1118">
        <f>150000+520000+130000+35000+400000+490000+891000+382000+52000+400000+1350000+500000+200000+400000+1300000+1150000</f>
        <v>8350000</v>
      </c>
      <c r="L20" s="1118">
        <f>2650000+150000+35000+400000</f>
        <v>3235000</v>
      </c>
      <c r="M20" s="1118">
        <f>8350000-3235000</f>
        <v>5115000</v>
      </c>
      <c r="N20" s="1118">
        <f>150000+35000+400000+490000+891000+382000+52000+400000+1350000+500000+200000+400000+1300000+1150000</f>
        <v>7700000</v>
      </c>
      <c r="O20" s="1054" t="s">
        <v>3178</v>
      </c>
      <c r="P20" s="1053"/>
      <c r="Q20" s="1053"/>
      <c r="R20" s="1133">
        <v>41373</v>
      </c>
      <c r="S20" s="1754">
        <f>R20+(365*3)+2</f>
        <v>42470</v>
      </c>
      <c r="T20" s="1754"/>
      <c r="U20" s="1053">
        <f>($X$1-S20)/365</f>
        <v>2.5643835616438357</v>
      </c>
      <c r="V20" s="1122">
        <f t="shared" si="4"/>
        <v>10.257534246575343</v>
      </c>
      <c r="W20" s="1053">
        <f>$H$20*$U$20*8/100</f>
        <v>1713008.2191780824</v>
      </c>
      <c r="X20" s="1053">
        <f>$K$20*$U$20*18/100</f>
        <v>3854268.4931506854</v>
      </c>
      <c r="Y20" s="1123">
        <f t="shared" si="5"/>
        <v>1713008.2191780822</v>
      </c>
      <c r="Z20" s="1123">
        <f t="shared" si="6"/>
        <v>1713008.2191780822</v>
      </c>
      <c r="AA20" s="1053">
        <f t="shared" si="7"/>
        <v>10063008.219178082</v>
      </c>
      <c r="AB20" s="1053">
        <f t="shared" si="9"/>
        <v>13115126.365392126</v>
      </c>
      <c r="AC20" s="1053">
        <v>200000</v>
      </c>
      <c r="AD20" s="1053">
        <v>100000</v>
      </c>
      <c r="AE20" s="1053">
        <f t="shared" si="8"/>
        <v>21765126.365392126</v>
      </c>
      <c r="AF20" s="1202"/>
      <c r="AG20" s="1053"/>
    </row>
    <row r="21" spans="1:33" s="1124" customFormat="1" ht="60">
      <c r="A21" s="1053"/>
      <c r="B21" s="1053"/>
      <c r="C21" s="1054"/>
      <c r="D21" s="1053"/>
      <c r="E21" s="1053"/>
      <c r="F21" s="1053"/>
      <c r="G21" s="1053"/>
      <c r="H21" s="1053"/>
      <c r="I21" s="1053"/>
      <c r="J21" s="1053"/>
      <c r="K21" s="1118"/>
      <c r="L21" s="1118"/>
      <c r="M21" s="1118"/>
      <c r="N21" s="1118"/>
      <c r="O21" s="1054"/>
      <c r="P21" s="1053"/>
      <c r="Q21" s="1053"/>
      <c r="R21" s="1133">
        <v>41500</v>
      </c>
      <c r="S21" s="1754">
        <f>R21+(365*3)+2</f>
        <v>42597</v>
      </c>
      <c r="T21" s="1754"/>
      <c r="U21" s="1053">
        <f>($X$1-S21)/365</f>
        <v>2.2164383561643834</v>
      </c>
      <c r="V21" s="1122">
        <f t="shared" si="4"/>
        <v>8.8657534246575338</v>
      </c>
      <c r="W21" s="1053">
        <f>$H$20*$U$20*8/100</f>
        <v>1713008.2191780824</v>
      </c>
      <c r="X21" s="1053">
        <f>$K$20*$U$20*18/100</f>
        <v>3854268.4931506854</v>
      </c>
      <c r="Y21" s="1123">
        <f t="shared" si="5"/>
        <v>0</v>
      </c>
      <c r="Z21" s="1123">
        <f t="shared" si="6"/>
        <v>0</v>
      </c>
      <c r="AA21" s="1053">
        <f t="shared" si="7"/>
        <v>0</v>
      </c>
      <c r="AB21" s="1053">
        <f t="shared" si="9"/>
        <v>0</v>
      </c>
      <c r="AC21" s="1053"/>
      <c r="AD21" s="1053"/>
      <c r="AE21" s="1054" t="s">
        <v>3179</v>
      </c>
      <c r="AF21" s="1202"/>
      <c r="AG21" s="1053"/>
    </row>
    <row r="22" spans="1:33" s="1124" customFormat="1" ht="30">
      <c r="A22" s="1053">
        <v>20</v>
      </c>
      <c r="B22" s="1053" t="s">
        <v>3017</v>
      </c>
      <c r="C22" s="1054" t="s">
        <v>3018</v>
      </c>
      <c r="D22" s="1053">
        <v>2471191</v>
      </c>
      <c r="E22" s="1053">
        <f t="shared" si="3"/>
        <v>3586207.1172897634</v>
      </c>
      <c r="F22" s="1053">
        <f t="shared" si="10"/>
        <v>6057398.1172897629</v>
      </c>
      <c r="G22" s="1053">
        <v>2471191</v>
      </c>
      <c r="H22" s="1053">
        <f>+K22</f>
        <v>2471191</v>
      </c>
      <c r="I22" s="1053">
        <f t="shared" si="11"/>
        <v>418139.05797260278</v>
      </c>
      <c r="J22" s="1053">
        <f t="shared" si="1"/>
        <v>2889330.0579726025</v>
      </c>
      <c r="K22" s="1118">
        <f>400000+701774+204152+385223+439304+340738</f>
        <v>2471191</v>
      </c>
      <c r="L22" s="1118">
        <v>50000</v>
      </c>
      <c r="M22" s="1118">
        <f t="shared" si="2"/>
        <v>2421191</v>
      </c>
      <c r="N22" s="1118">
        <v>1369417</v>
      </c>
      <c r="O22" s="1053" t="s">
        <v>3180</v>
      </c>
      <c r="P22" s="1053"/>
      <c r="Q22" s="1053"/>
      <c r="R22" s="1120">
        <v>41537</v>
      </c>
      <c r="S22" s="1754">
        <f t="shared" ref="S22:S28" si="12">R22+(365*3)+2</f>
        <v>42634</v>
      </c>
      <c r="T22" s="1754"/>
      <c r="U22" s="1053">
        <f t="shared" ref="U22:U44" si="13">($X$1-S22)/365</f>
        <v>2.1150684931506851</v>
      </c>
      <c r="V22" s="1122">
        <f t="shared" si="4"/>
        <v>8.4602739726027405</v>
      </c>
      <c r="W22" s="1053">
        <f>$H$22*$U$22*8/100</f>
        <v>418139.05797260278</v>
      </c>
      <c r="X22" s="1053">
        <f>$K$22*$U$22*18/100</f>
        <v>940812.88043835619</v>
      </c>
      <c r="Y22" s="1123">
        <f t="shared" si="5"/>
        <v>418139.05797260278</v>
      </c>
      <c r="Z22" s="1123">
        <f t="shared" si="6"/>
        <v>418139.05797260278</v>
      </c>
      <c r="AA22" s="1053">
        <f t="shared" si="7"/>
        <v>2889330.0579726025</v>
      </c>
      <c r="AB22" s="1053">
        <f t="shared" si="9"/>
        <v>3586207.1172897634</v>
      </c>
      <c r="AC22" s="1053">
        <v>200000</v>
      </c>
      <c r="AD22" s="1053">
        <v>100000</v>
      </c>
      <c r="AE22" s="1053">
        <f t="shared" ref="AE22:AE53" si="14">+D22+AB22+AC22+AD22</f>
        <v>6357398.1172897629</v>
      </c>
      <c r="AF22" s="1202"/>
      <c r="AG22" s="1053"/>
    </row>
    <row r="23" spans="1:33" s="1124" customFormat="1">
      <c r="A23" s="1053">
        <v>21</v>
      </c>
      <c r="B23" s="1053" t="s">
        <v>3019</v>
      </c>
      <c r="C23" s="1054" t="s">
        <v>3020</v>
      </c>
      <c r="D23" s="1053">
        <v>3013000</v>
      </c>
      <c r="E23" s="1053">
        <f t="shared" si="3"/>
        <v>4606313.5229269173</v>
      </c>
      <c r="F23" s="1053">
        <f t="shared" si="10"/>
        <v>7619313.5229269173</v>
      </c>
      <c r="G23" s="1053">
        <v>3013000</v>
      </c>
      <c r="H23" s="1053">
        <f>+K23</f>
        <v>3013000</v>
      </c>
      <c r="I23" s="1053">
        <f t="shared" si="11"/>
        <v>581137.53424657532</v>
      </c>
      <c r="J23" s="1053">
        <f t="shared" si="1"/>
        <v>3594137.5342465751</v>
      </c>
      <c r="K23" s="1118">
        <f>100000+200000+573000+150000+190000+900000+900000</f>
        <v>3013000</v>
      </c>
      <c r="L23" s="1118">
        <v>100000</v>
      </c>
      <c r="M23" s="1118">
        <f t="shared" si="2"/>
        <v>2913000</v>
      </c>
      <c r="N23" s="1118">
        <f>150000+190000+900000+900000</f>
        <v>2140000</v>
      </c>
      <c r="O23" s="1119">
        <v>41464</v>
      </c>
      <c r="P23" s="1053"/>
      <c r="Q23" s="1053"/>
      <c r="R23" s="1120">
        <v>41429</v>
      </c>
      <c r="S23" s="1754">
        <f t="shared" si="12"/>
        <v>42526</v>
      </c>
      <c r="T23" s="1754"/>
      <c r="U23" s="1053">
        <f t="shared" si="13"/>
        <v>2.4109589041095889</v>
      </c>
      <c r="V23" s="1122">
        <f t="shared" si="4"/>
        <v>9.6438356164383556</v>
      </c>
      <c r="W23" s="1053">
        <f>$H$23*$U$23*8/100</f>
        <v>581137.53424657532</v>
      </c>
      <c r="X23" s="1053">
        <f>$K$23*$U$23*18/100</f>
        <v>1307559.4520547944</v>
      </c>
      <c r="Y23" s="1123">
        <f t="shared" si="5"/>
        <v>581137.53424657532</v>
      </c>
      <c r="Z23" s="1123">
        <f t="shared" si="6"/>
        <v>581137.53424657532</v>
      </c>
      <c r="AA23" s="1053">
        <f t="shared" si="7"/>
        <v>3594137.5342465751</v>
      </c>
      <c r="AB23" s="1053">
        <f t="shared" si="9"/>
        <v>4606313.5229269173</v>
      </c>
      <c r="AC23" s="1053">
        <v>200000</v>
      </c>
      <c r="AD23" s="1053">
        <v>100000</v>
      </c>
      <c r="AE23" s="1053">
        <f t="shared" si="14"/>
        <v>7919313.5229269173</v>
      </c>
      <c r="AF23" s="1202"/>
      <c r="AG23" s="1053"/>
    </row>
    <row r="24" spans="1:33" s="1124" customFormat="1" ht="30">
      <c r="A24" s="1053">
        <v>22</v>
      </c>
      <c r="B24" s="1053" t="s">
        <v>3021</v>
      </c>
      <c r="C24" s="1054" t="s">
        <v>3022</v>
      </c>
      <c r="D24" s="1053">
        <v>4759572</v>
      </c>
      <c r="E24" s="1053">
        <f t="shared" si="3"/>
        <v>6909473.5970607437</v>
      </c>
      <c r="F24" s="1053">
        <f t="shared" si="10"/>
        <v>11669045.597060744</v>
      </c>
      <c r="G24" s="1053">
        <v>4759572</v>
      </c>
      <c r="H24" s="1053">
        <f>+K24+Q24</f>
        <v>4625368</v>
      </c>
      <c r="I24" s="1053">
        <f t="shared" si="11"/>
        <v>897194.66958904103</v>
      </c>
      <c r="J24" s="1053">
        <f t="shared" si="1"/>
        <v>5522562.6695890408</v>
      </c>
      <c r="K24" s="1118">
        <f>81678+500000+400000+759763+400000+47000+53000+50000+227992+100000+56110+200000</f>
        <v>2875543</v>
      </c>
      <c r="L24" s="1118">
        <v>0</v>
      </c>
      <c r="M24" s="1118">
        <f t="shared" si="2"/>
        <v>2875543</v>
      </c>
      <c r="N24" s="1118">
        <f>400000+50000+500000+81678+47000+53000+200000+56110+200000+100000+300000+227992+484029+500000+400000</f>
        <v>3599809</v>
      </c>
      <c r="O24" s="1119">
        <v>42250</v>
      </c>
      <c r="P24" s="1053">
        <f>484029+200000+500000+400000+500000</f>
        <v>2084029</v>
      </c>
      <c r="Q24" s="1053">
        <v>1749825</v>
      </c>
      <c r="R24" s="1120">
        <v>41424</v>
      </c>
      <c r="S24" s="1754">
        <f t="shared" si="12"/>
        <v>42521</v>
      </c>
      <c r="T24" s="1754"/>
      <c r="U24" s="1053">
        <f t="shared" si="13"/>
        <v>2.4246575342465753</v>
      </c>
      <c r="V24" s="1122">
        <f t="shared" si="4"/>
        <v>9.6986301369863011</v>
      </c>
      <c r="W24" s="1053">
        <f>$H$24*$U$24*8/100</f>
        <v>897194.66958904103</v>
      </c>
      <c r="X24" s="1053">
        <f>$K$24*$U$24*18/100</f>
        <v>1254997.26</v>
      </c>
      <c r="Y24" s="1123">
        <f t="shared" si="5"/>
        <v>923226.56876712327</v>
      </c>
      <c r="Z24" s="1123">
        <f t="shared" si="6"/>
        <v>897194.66958904103</v>
      </c>
      <c r="AA24" s="1053">
        <f t="shared" si="7"/>
        <v>5656766.6695890408</v>
      </c>
      <c r="AB24" s="1053">
        <v>6909473.5970607437</v>
      </c>
      <c r="AC24" s="1053">
        <v>200000</v>
      </c>
      <c r="AD24" s="1053">
        <v>100000</v>
      </c>
      <c r="AE24" s="1053">
        <f t="shared" si="14"/>
        <v>11969045.597060744</v>
      </c>
      <c r="AF24" s="1202"/>
      <c r="AG24" s="1053"/>
    </row>
    <row r="25" spans="1:33" ht="30">
      <c r="A25" s="1056">
        <v>23</v>
      </c>
      <c r="B25" s="1056" t="s">
        <v>3023</v>
      </c>
      <c r="C25" s="1057" t="s">
        <v>3024</v>
      </c>
      <c r="D25" s="1056">
        <v>2674187</v>
      </c>
      <c r="E25" s="1056">
        <f t="shared" si="3"/>
        <v>0</v>
      </c>
      <c r="F25" s="1056">
        <f>D25+E25</f>
        <v>2674187</v>
      </c>
      <c r="G25" s="1056">
        <v>1674187</v>
      </c>
      <c r="H25" s="1056"/>
      <c r="I25" s="1056"/>
      <c r="J25" s="1056">
        <f t="shared" si="1"/>
        <v>0</v>
      </c>
      <c r="K25" s="1126"/>
      <c r="L25" s="1126">
        <f>+M25-K25</f>
        <v>0</v>
      </c>
      <c r="M25" s="1126"/>
      <c r="N25" s="1126"/>
      <c r="O25" s="1056"/>
      <c r="P25" s="1056"/>
      <c r="Q25" s="1056"/>
      <c r="R25" s="1127">
        <v>41769</v>
      </c>
      <c r="S25" s="1753">
        <f t="shared" si="12"/>
        <v>42866</v>
      </c>
      <c r="T25" s="1753"/>
      <c r="U25" s="1056">
        <f t="shared" si="13"/>
        <v>1.4794520547945205</v>
      </c>
      <c r="V25" s="1198">
        <f t="shared" si="4"/>
        <v>5.9178082191780819</v>
      </c>
      <c r="W25" s="1056">
        <f>$H$25*$U$25*8/100</f>
        <v>0</v>
      </c>
      <c r="X25" s="1056"/>
      <c r="Y25" s="1128">
        <f t="shared" si="5"/>
        <v>316506.51616438356</v>
      </c>
      <c r="Z25" s="1128">
        <f t="shared" si="6"/>
        <v>0</v>
      </c>
      <c r="AA25" s="1056">
        <f t="shared" si="7"/>
        <v>2674187</v>
      </c>
      <c r="AB25" s="1056">
        <f t="shared" si="9"/>
        <v>0</v>
      </c>
      <c r="AC25" s="1056">
        <v>200000</v>
      </c>
      <c r="AD25" s="1056">
        <v>100000</v>
      </c>
      <c r="AE25" s="1056">
        <f t="shared" si="14"/>
        <v>2974187</v>
      </c>
      <c r="AF25" s="1203"/>
    </row>
    <row r="26" spans="1:33" s="1124" customFormat="1">
      <c r="A26" s="1053">
        <v>24</v>
      </c>
      <c r="B26" s="1053" t="s">
        <v>3025</v>
      </c>
      <c r="C26" s="1054" t="s">
        <v>3026</v>
      </c>
      <c r="D26" s="1053">
        <v>1909458</v>
      </c>
      <c r="E26" s="1053">
        <f t="shared" si="3"/>
        <v>2044690.7092433833</v>
      </c>
      <c r="F26" s="1053">
        <f t="shared" si="10"/>
        <v>3954148.7092433833</v>
      </c>
      <c r="G26" s="1053">
        <v>1909458</v>
      </c>
      <c r="H26" s="1053"/>
      <c r="I26" s="1053"/>
      <c r="J26" s="1053">
        <f t="shared" si="1"/>
        <v>0</v>
      </c>
      <c r="K26" s="1118">
        <f>450000+450000+450000+450000+50000+4729+54729</f>
        <v>1909458</v>
      </c>
      <c r="L26" s="1118">
        <v>0</v>
      </c>
      <c r="M26" s="1118">
        <f t="shared" si="2"/>
        <v>1909458</v>
      </c>
      <c r="N26" s="1118">
        <f>450000+450000+450000+450000+50000+4729+54729</f>
        <v>1909458</v>
      </c>
      <c r="O26" s="1119">
        <v>41345</v>
      </c>
      <c r="P26" s="1053"/>
      <c r="Q26" s="1053"/>
      <c r="R26" s="1120">
        <v>41424</v>
      </c>
      <c r="S26" s="1754">
        <f t="shared" si="12"/>
        <v>42521</v>
      </c>
      <c r="T26" s="1754"/>
      <c r="U26" s="1053">
        <f t="shared" si="13"/>
        <v>2.4246575342465753</v>
      </c>
      <c r="V26" s="1122">
        <f t="shared" si="4"/>
        <v>9.6986301369863011</v>
      </c>
      <c r="W26" s="1053">
        <f>$K$26*$U$26*8/100</f>
        <v>370382.53808219178</v>
      </c>
      <c r="X26" s="1053">
        <f>$K$26*$U$26*18/100</f>
        <v>833360.7106849316</v>
      </c>
      <c r="Y26" s="1123">
        <f t="shared" si="5"/>
        <v>370382.53808219178</v>
      </c>
      <c r="Z26" s="1123">
        <f t="shared" si="6"/>
        <v>0</v>
      </c>
      <c r="AA26" s="1053">
        <f t="shared" si="7"/>
        <v>1909458</v>
      </c>
      <c r="AB26" s="1053">
        <v>2044690.7092433833</v>
      </c>
      <c r="AC26" s="1053">
        <v>200000</v>
      </c>
      <c r="AD26" s="1053">
        <v>100000</v>
      </c>
      <c r="AE26" s="1053">
        <f t="shared" si="14"/>
        <v>4254148.7092433833</v>
      </c>
      <c r="AF26" s="1202"/>
      <c r="AG26" s="1053"/>
    </row>
    <row r="27" spans="1:33" s="1112" customFormat="1" ht="30">
      <c r="A27" s="1050">
        <v>25</v>
      </c>
      <c r="B27" s="1050" t="s">
        <v>3027</v>
      </c>
      <c r="C27" s="1051" t="s">
        <v>3028</v>
      </c>
      <c r="D27" s="1050">
        <v>4900000</v>
      </c>
      <c r="E27" s="1050">
        <f t="shared" si="3"/>
        <v>5129896.1966872942</v>
      </c>
      <c r="F27" s="1050">
        <f t="shared" si="10"/>
        <v>10029896.196687294</v>
      </c>
      <c r="G27" s="1050">
        <v>4900000</v>
      </c>
      <c r="H27" s="1050">
        <v>3150000</v>
      </c>
      <c r="I27" s="1050"/>
      <c r="J27" s="1050">
        <f t="shared" si="1"/>
        <v>3150000</v>
      </c>
      <c r="K27" s="1107">
        <f>650000+1000000+500000+850000+400000+500000+500000+500000</f>
        <v>4900000</v>
      </c>
      <c r="L27" s="1107">
        <v>1750000</v>
      </c>
      <c r="M27" s="1107">
        <f t="shared" si="2"/>
        <v>3150000</v>
      </c>
      <c r="N27" s="1107">
        <f>650000+1000000</f>
        <v>1650000</v>
      </c>
      <c r="O27" s="1050" t="s">
        <v>3181</v>
      </c>
      <c r="P27" s="1050"/>
      <c r="Q27" s="1050"/>
      <c r="R27" s="1108">
        <v>41298</v>
      </c>
      <c r="S27" s="1755">
        <f t="shared" si="12"/>
        <v>42395</v>
      </c>
      <c r="T27" s="1755"/>
      <c r="U27" s="1050">
        <f t="shared" si="13"/>
        <v>2.7698630136986302</v>
      </c>
      <c r="V27" s="1110">
        <f t="shared" si="4"/>
        <v>11.079452054794521</v>
      </c>
      <c r="W27" s="1050">
        <f>$K$27*$U$27*8/100</f>
        <v>1085786.3013698631</v>
      </c>
      <c r="X27" s="1050">
        <f>$K$27*$U$27*18/100</f>
        <v>2443019.1780821919</v>
      </c>
      <c r="Y27" s="1111">
        <f t="shared" si="5"/>
        <v>1085786.3013698631</v>
      </c>
      <c r="Z27" s="1111">
        <f t="shared" si="6"/>
        <v>698005.47945205483</v>
      </c>
      <c r="AA27" s="1050">
        <f t="shared" si="7"/>
        <v>5598005.4794520549</v>
      </c>
      <c r="AB27" s="1050">
        <f t="shared" si="9"/>
        <v>5129896.1966872942</v>
      </c>
      <c r="AC27" s="1050">
        <v>200000</v>
      </c>
      <c r="AD27" s="1050">
        <v>100000</v>
      </c>
      <c r="AE27" s="1050">
        <f t="shared" si="14"/>
        <v>10329896.196687294</v>
      </c>
      <c r="AF27" s="1200"/>
      <c r="AG27" s="1050"/>
    </row>
    <row r="28" spans="1:33" s="1124" customFormat="1" ht="30">
      <c r="A28" s="1053">
        <v>26</v>
      </c>
      <c r="B28" s="1053" t="s">
        <v>3029</v>
      </c>
      <c r="C28" s="1054" t="s">
        <v>3030</v>
      </c>
      <c r="D28" s="1053">
        <v>3500000</v>
      </c>
      <c r="E28" s="1053">
        <f t="shared" si="3"/>
        <v>4585476.3403035365</v>
      </c>
      <c r="F28" s="1053">
        <f t="shared" si="10"/>
        <v>8085476.3403035365</v>
      </c>
      <c r="G28" s="1053">
        <v>3500000</v>
      </c>
      <c r="H28" s="1053">
        <f>+M28</f>
        <v>3500000</v>
      </c>
      <c r="I28" s="1053">
        <f>+W28</f>
        <v>429589.0410958904</v>
      </c>
      <c r="J28" s="1053">
        <f t="shared" si="1"/>
        <v>3929589.0410958906</v>
      </c>
      <c r="K28" s="1118"/>
      <c r="L28" s="1118"/>
      <c r="M28" s="1118">
        <v>3500000</v>
      </c>
      <c r="N28" s="1118"/>
      <c r="O28" s="1053"/>
      <c r="P28" s="1053"/>
      <c r="Q28" s="1053"/>
      <c r="R28" s="1120">
        <v>41749</v>
      </c>
      <c r="S28" s="1754">
        <f t="shared" si="12"/>
        <v>42846</v>
      </c>
      <c r="T28" s="1754"/>
      <c r="U28" s="1053">
        <f t="shared" si="13"/>
        <v>1.5342465753424657</v>
      </c>
      <c r="V28" s="1122">
        <f t="shared" si="4"/>
        <v>6.1369863013698627</v>
      </c>
      <c r="W28" s="1053">
        <f>$H$28*$U$28*8/100</f>
        <v>429589.0410958904</v>
      </c>
      <c r="X28" s="1053"/>
      <c r="Y28" s="1123">
        <f t="shared" si="5"/>
        <v>429589.0410958904</v>
      </c>
      <c r="Z28" s="1123">
        <f t="shared" si="6"/>
        <v>429589.0410958904</v>
      </c>
      <c r="AA28" s="1053">
        <f t="shared" si="7"/>
        <v>3929589.0410958906</v>
      </c>
      <c r="AB28" s="1053">
        <f t="shared" si="9"/>
        <v>4585476.3403035365</v>
      </c>
      <c r="AC28" s="1053">
        <v>200000</v>
      </c>
      <c r="AD28" s="1053">
        <v>100000</v>
      </c>
      <c r="AE28" s="1053">
        <f t="shared" si="14"/>
        <v>8385476.3403035365</v>
      </c>
      <c r="AF28" s="1204"/>
      <c r="AG28" s="1185"/>
    </row>
    <row r="29" spans="1:33" s="1124" customFormat="1" ht="30">
      <c r="A29" s="1053">
        <v>27</v>
      </c>
      <c r="B29" s="1054" t="s">
        <v>3031</v>
      </c>
      <c r="C29" s="1054" t="s">
        <v>3032</v>
      </c>
      <c r="D29" s="1053">
        <v>1484568</v>
      </c>
      <c r="E29" s="1053">
        <f t="shared" si="3"/>
        <v>1703357.3519373478</v>
      </c>
      <c r="F29" s="1053">
        <f t="shared" si="10"/>
        <v>3187925.351937348</v>
      </c>
      <c r="G29" s="1053">
        <v>1484568</v>
      </c>
      <c r="H29" s="1053">
        <v>1484568</v>
      </c>
      <c r="I29" s="1053">
        <f>W29</f>
        <v>92734.658630136997</v>
      </c>
      <c r="J29" s="1053">
        <f t="shared" si="1"/>
        <v>1577302.6586301371</v>
      </c>
      <c r="K29" s="1118">
        <f>400000+400000+684565</f>
        <v>1484565</v>
      </c>
      <c r="L29" s="1118">
        <v>0</v>
      </c>
      <c r="M29" s="1118">
        <f t="shared" si="2"/>
        <v>1484565</v>
      </c>
      <c r="N29" s="1118">
        <v>1484565</v>
      </c>
      <c r="O29" s="1119">
        <v>42401</v>
      </c>
      <c r="P29" s="1053"/>
      <c r="Q29" s="1053"/>
      <c r="R29" s="1120">
        <v>42389</v>
      </c>
      <c r="S29" s="1754">
        <f>R29+(365*2)+2</f>
        <v>43121</v>
      </c>
      <c r="T29" s="1754"/>
      <c r="U29" s="1053">
        <f t="shared" si="13"/>
        <v>0.78082191780821919</v>
      </c>
      <c r="V29" s="1122">
        <f t="shared" si="4"/>
        <v>3.1232876712328768</v>
      </c>
      <c r="W29" s="1053">
        <f>$H$29*$U$29*8/100</f>
        <v>92734.658630136997</v>
      </c>
      <c r="X29" s="1053">
        <f>$K$29*$U$29*18/100</f>
        <v>208652.56027397263</v>
      </c>
      <c r="Y29" s="1123">
        <f t="shared" si="5"/>
        <v>92734.658630136983</v>
      </c>
      <c r="Z29" s="1123">
        <f t="shared" si="6"/>
        <v>92734.658630136983</v>
      </c>
      <c r="AA29" s="1053">
        <f t="shared" si="7"/>
        <v>1577302.6586301369</v>
      </c>
      <c r="AB29" s="1053">
        <f t="shared" si="9"/>
        <v>1703357.3519373478</v>
      </c>
      <c r="AC29" s="1053">
        <v>200000</v>
      </c>
      <c r="AD29" s="1053">
        <v>100000</v>
      </c>
      <c r="AE29" s="1053">
        <f t="shared" si="14"/>
        <v>3487925.351937348</v>
      </c>
      <c r="AF29" s="1204"/>
      <c r="AG29" s="1185"/>
    </row>
    <row r="30" spans="1:33" s="1124" customFormat="1">
      <c r="A30" s="1053">
        <v>28</v>
      </c>
      <c r="B30" s="1053" t="s">
        <v>3033</v>
      </c>
      <c r="C30" s="1054" t="s">
        <v>3034</v>
      </c>
      <c r="D30" s="1099">
        <v>2600000</v>
      </c>
      <c r="E30" s="1053">
        <f t="shared" si="3"/>
        <v>3758602.9799010623</v>
      </c>
      <c r="F30" s="1053">
        <f t="shared" si="10"/>
        <v>6358602.9799010623</v>
      </c>
      <c r="G30" s="1053">
        <v>2600000</v>
      </c>
      <c r="H30" s="1053">
        <f>+K30</f>
        <v>2600000</v>
      </c>
      <c r="I30" s="1053">
        <f>+W30</f>
        <v>435375.34246575343</v>
      </c>
      <c r="J30" s="1053">
        <f t="shared" si="1"/>
        <v>3035375.3424657537</v>
      </c>
      <c r="K30" s="1118">
        <f>1000000+1100000+400000+100000</f>
        <v>2600000</v>
      </c>
      <c r="L30" s="1135">
        <v>1200000</v>
      </c>
      <c r="M30" s="1118">
        <f>2600000-1200000</f>
        <v>1400000</v>
      </c>
      <c r="N30" s="1118">
        <f>1000000+1100000+400000+100000</f>
        <v>2600000</v>
      </c>
      <c r="O30" s="1119">
        <v>41527</v>
      </c>
      <c r="P30" s="1053"/>
      <c r="Q30" s="1053"/>
      <c r="R30" s="1120">
        <v>41545</v>
      </c>
      <c r="S30" s="1754">
        <f>+R30+(365*3)+2</f>
        <v>42642</v>
      </c>
      <c r="T30" s="1754"/>
      <c r="U30" s="1053">
        <f t="shared" si="13"/>
        <v>2.0931506849315067</v>
      </c>
      <c r="V30" s="1122">
        <f t="shared" si="4"/>
        <v>8.3726027397260268</v>
      </c>
      <c r="W30" s="1053">
        <f>$H$30*$U$30*8/100</f>
        <v>435375.34246575343</v>
      </c>
      <c r="X30" s="1053">
        <f>$K$30*$U$30*18/100</f>
        <v>979594.52054794517</v>
      </c>
      <c r="Y30" s="1123">
        <f t="shared" si="5"/>
        <v>435375.34246575338</v>
      </c>
      <c r="Z30" s="1123">
        <f t="shared" si="6"/>
        <v>435375.34246575338</v>
      </c>
      <c r="AA30" s="1053">
        <f t="shared" si="7"/>
        <v>3035375.3424657532</v>
      </c>
      <c r="AB30" s="1053">
        <f t="shared" si="9"/>
        <v>3758602.9799010623</v>
      </c>
      <c r="AC30" s="1053">
        <v>200000</v>
      </c>
      <c r="AD30" s="1053">
        <v>100000</v>
      </c>
      <c r="AE30" s="1053">
        <f t="shared" si="14"/>
        <v>6658602.9799010623</v>
      </c>
      <c r="AF30" s="1204"/>
      <c r="AG30" s="1185"/>
    </row>
    <row r="31" spans="1:33" s="1124" customFormat="1">
      <c r="A31" s="1053">
        <v>29</v>
      </c>
      <c r="B31" s="1053" t="s">
        <v>3035</v>
      </c>
      <c r="C31" s="1054" t="s">
        <v>3036</v>
      </c>
      <c r="D31" s="1099">
        <v>3217500</v>
      </c>
      <c r="E31" s="1053">
        <f t="shared" si="3"/>
        <v>5078079.49</v>
      </c>
      <c r="F31" s="1053">
        <f t="shared" si="10"/>
        <v>8295579.4900000002</v>
      </c>
      <c r="G31" s="1053">
        <v>3217500</v>
      </c>
      <c r="H31" s="1053" t="e">
        <f>+L31+#REF!</f>
        <v>#REF!</v>
      </c>
      <c r="I31" s="1053"/>
      <c r="J31" s="1053" t="e">
        <f t="shared" si="1"/>
        <v>#REF!</v>
      </c>
      <c r="K31" s="1118">
        <f>+L31+M31</f>
        <v>3217500</v>
      </c>
      <c r="L31" s="1118">
        <f>1017500+500000</f>
        <v>1517500</v>
      </c>
      <c r="M31" s="1118">
        <v>1700000</v>
      </c>
      <c r="N31" s="1118">
        <v>2717500</v>
      </c>
      <c r="O31" s="1053" t="s">
        <v>3182</v>
      </c>
      <c r="P31" s="1053"/>
      <c r="Q31" s="1053"/>
      <c r="R31" s="1120">
        <v>41363</v>
      </c>
      <c r="S31" s="1754">
        <f>+R31+(365*3)+2</f>
        <v>42460</v>
      </c>
      <c r="T31" s="1754"/>
      <c r="U31" s="1053">
        <f t="shared" si="13"/>
        <v>2.591780821917808</v>
      </c>
      <c r="V31" s="1122">
        <f t="shared" si="4"/>
        <v>10.367123287671232</v>
      </c>
      <c r="W31" s="1053" t="e">
        <f>$H$31*$U$31*18/100</f>
        <v>#REF!</v>
      </c>
      <c r="X31" s="1053">
        <f>$K$31*$U$31*18/100</f>
        <v>1501029.8630136985</v>
      </c>
      <c r="Y31" s="1123">
        <f t="shared" si="5"/>
        <v>667124.38356164377</v>
      </c>
      <c r="Z31" s="1123" t="e">
        <f t="shared" si="6"/>
        <v>#REF!</v>
      </c>
      <c r="AA31" s="1053" t="e">
        <f t="shared" si="7"/>
        <v>#REF!</v>
      </c>
      <c r="AB31" s="1053">
        <v>5078079.49</v>
      </c>
      <c r="AC31" s="1053">
        <v>200000</v>
      </c>
      <c r="AD31" s="1053">
        <v>100000</v>
      </c>
      <c r="AE31" s="1053">
        <f t="shared" si="14"/>
        <v>8595579.4900000002</v>
      </c>
      <c r="AF31" s="1204"/>
      <c r="AG31" s="1185"/>
    </row>
    <row r="32" spans="1:33" s="1124" customFormat="1" ht="30">
      <c r="A32" s="1053">
        <v>30</v>
      </c>
      <c r="B32" s="1053" t="s">
        <v>3037</v>
      </c>
      <c r="C32" s="1054" t="s">
        <v>3038</v>
      </c>
      <c r="D32" s="1099">
        <v>3529323</v>
      </c>
      <c r="E32" s="1053">
        <f t="shared" si="3"/>
        <v>5524728.6863461435</v>
      </c>
      <c r="F32" s="1053">
        <f t="shared" si="10"/>
        <v>9054051.6863461435</v>
      </c>
      <c r="G32" s="1053">
        <v>3643840</v>
      </c>
      <c r="H32" s="1053">
        <f>+K32</f>
        <v>3529323</v>
      </c>
      <c r="I32" s="1053">
        <v>0</v>
      </c>
      <c r="J32" s="1053">
        <f t="shared" si="1"/>
        <v>3529323</v>
      </c>
      <c r="K32" s="1136">
        <f>522517+522517+400000+329222+400000+451689+451689+451689</f>
        <v>3529323</v>
      </c>
      <c r="L32" s="1136">
        <v>0</v>
      </c>
      <c r="M32" s="1118">
        <f t="shared" si="2"/>
        <v>3529323</v>
      </c>
      <c r="N32" s="1136">
        <f>522517+522517+329222+400000+451689+451689+451689</f>
        <v>3129323</v>
      </c>
      <c r="O32" s="1053" t="s">
        <v>3183</v>
      </c>
      <c r="P32" s="1053"/>
      <c r="Q32" s="1053"/>
      <c r="R32" s="1120">
        <v>41380</v>
      </c>
      <c r="S32" s="1754">
        <f>+R32+(365*3)+2</f>
        <v>42477</v>
      </c>
      <c r="T32" s="1754"/>
      <c r="U32" s="1053">
        <f t="shared" si="13"/>
        <v>2.5452054794520547</v>
      </c>
      <c r="V32" s="1122">
        <f t="shared" si="4"/>
        <v>10.180821917808219</v>
      </c>
      <c r="W32" s="1137">
        <f>$H$32*$U$32*8/100</f>
        <v>718628.17906849307</v>
      </c>
      <c r="X32" s="1137">
        <f>$K$32*$U$32*18/100</f>
        <v>1616913.4029041093</v>
      </c>
      <c r="Y32" s="1123">
        <f t="shared" si="5"/>
        <v>718628.17906849319</v>
      </c>
      <c r="Z32" s="1123">
        <f t="shared" si="6"/>
        <v>718628.17906849319</v>
      </c>
      <c r="AA32" s="1053">
        <f t="shared" si="7"/>
        <v>4247951.1790684927</v>
      </c>
      <c r="AB32" s="1053">
        <f>+H32*(1+18%/4)^V32</f>
        <v>5524728.6863461435</v>
      </c>
      <c r="AC32" s="1053">
        <v>200000</v>
      </c>
      <c r="AD32" s="1053">
        <v>100000</v>
      </c>
      <c r="AE32" s="1053">
        <f t="shared" si="14"/>
        <v>9354051.6863461435</v>
      </c>
      <c r="AF32" s="1204"/>
      <c r="AG32" s="1053"/>
    </row>
    <row r="33" spans="1:33" s="1112" customFormat="1" ht="30">
      <c r="A33" s="1050">
        <v>31</v>
      </c>
      <c r="B33" s="1050" t="s">
        <v>3039</v>
      </c>
      <c r="C33" s="1051" t="s">
        <v>3040</v>
      </c>
      <c r="D33" s="1138">
        <v>4616408</v>
      </c>
      <c r="E33" s="1050">
        <f t="shared" si="3"/>
        <v>5530088.4324859455</v>
      </c>
      <c r="F33" s="1050">
        <f t="shared" si="10"/>
        <v>10146496.432485946</v>
      </c>
      <c r="G33" s="1050">
        <v>4616408</v>
      </c>
      <c r="H33" s="1050">
        <v>4016408</v>
      </c>
      <c r="I33" s="1139">
        <f>W33</f>
        <v>670833.64471232879</v>
      </c>
      <c r="J33" s="1050">
        <f t="shared" si="1"/>
        <v>4687241.6447123289</v>
      </c>
      <c r="K33" s="1107">
        <f>585000+585000+575000+400000+66280+305128+700000+600000+200000+400000+200000</f>
        <v>4616408</v>
      </c>
      <c r="L33" s="1106">
        <f>200000+200000+600000</f>
        <v>1000000</v>
      </c>
      <c r="M33" s="1107">
        <f>4616408-1000000</f>
        <v>3616408</v>
      </c>
      <c r="N33" s="1107">
        <f>305128+700000+600000+200000+400000+200000</f>
        <v>2405128</v>
      </c>
      <c r="O33" s="1050" t="s">
        <v>3184</v>
      </c>
      <c r="P33" s="1050">
        <f>400000+305128+700000+66280+400000+575000+585000+585000</f>
        <v>3616408</v>
      </c>
      <c r="Q33" s="1050"/>
      <c r="R33" s="1108">
        <v>41646</v>
      </c>
      <c r="S33" s="1755">
        <f>+R33+(365*3)+2</f>
        <v>42743</v>
      </c>
      <c r="T33" s="1755"/>
      <c r="U33" s="1050">
        <f t="shared" si="13"/>
        <v>1.8164383561643835</v>
      </c>
      <c r="V33" s="1110">
        <f t="shared" si="4"/>
        <v>7.2657534246575342</v>
      </c>
      <c r="W33" s="1139">
        <f>$G$33*$U$33*8/100</f>
        <v>670833.64471232879</v>
      </c>
      <c r="X33" s="1139">
        <f>$K$33*$U$33*18/100</f>
        <v>1509375.7006027398</v>
      </c>
      <c r="Y33" s="1111">
        <f t="shared" si="5"/>
        <v>670833.64471232879</v>
      </c>
      <c r="Z33" s="1111">
        <f t="shared" si="6"/>
        <v>583644.60361643834</v>
      </c>
      <c r="AA33" s="1050">
        <f t="shared" si="7"/>
        <v>5200052.6036164388</v>
      </c>
      <c r="AB33" s="1050">
        <f>+H33*(1+18%/4)^V33</f>
        <v>5530088.4324859455</v>
      </c>
      <c r="AC33" s="1050">
        <v>200000</v>
      </c>
      <c r="AD33" s="1050">
        <v>100000</v>
      </c>
      <c r="AE33" s="1050">
        <f t="shared" si="14"/>
        <v>10446496.432485946</v>
      </c>
      <c r="AF33" s="1200"/>
      <c r="AG33" s="1050"/>
    </row>
    <row r="34" spans="1:33">
      <c r="A34" s="1056">
        <v>32</v>
      </c>
      <c r="B34" s="1056" t="s">
        <v>3041</v>
      </c>
      <c r="C34" s="1057" t="s">
        <v>3042</v>
      </c>
      <c r="D34" s="1140">
        <v>3607814</v>
      </c>
      <c r="E34" s="1056">
        <f t="shared" si="3"/>
        <v>0</v>
      </c>
      <c r="F34" s="1056">
        <f t="shared" si="10"/>
        <v>3607814</v>
      </c>
      <c r="G34" s="1056">
        <v>3077634</v>
      </c>
      <c r="H34" s="1056">
        <f>+K34</f>
        <v>3607814</v>
      </c>
      <c r="I34" s="1056">
        <f>+W34</f>
        <v>413564.21304109588</v>
      </c>
      <c r="J34" s="1056">
        <f t="shared" si="1"/>
        <v>4021378.213041096</v>
      </c>
      <c r="K34" s="1130">
        <f>400000+843148+564666+1200000+600000</f>
        <v>3607814</v>
      </c>
      <c r="L34" s="1056">
        <v>0</v>
      </c>
      <c r="M34" s="1126">
        <f t="shared" si="2"/>
        <v>3607814</v>
      </c>
      <c r="N34" s="1130">
        <f>400000+843148+564666+1200000+600000</f>
        <v>3607814</v>
      </c>
      <c r="O34" s="1056" t="s">
        <v>3185</v>
      </c>
      <c r="P34" s="1056"/>
      <c r="Q34" s="1056"/>
      <c r="R34" s="1127">
        <v>41786</v>
      </c>
      <c r="S34" s="1753">
        <f t="shared" ref="S34:S42" si="15">+R34+(365*3)+2</f>
        <v>42883</v>
      </c>
      <c r="T34" s="1753"/>
      <c r="U34" s="1056">
        <f t="shared" si="13"/>
        <v>1.4328767123287671</v>
      </c>
      <c r="V34" s="1198">
        <f t="shared" si="4"/>
        <v>5.7315068493150685</v>
      </c>
      <c r="W34" s="1056">
        <f>$H$34*$U$34*8/100</f>
        <v>413564.21304109588</v>
      </c>
      <c r="X34" s="1056">
        <f>$K$34*$U$34*18/100</f>
        <v>930519.47934246575</v>
      </c>
      <c r="Y34" s="1128">
        <f t="shared" si="5"/>
        <v>413564.21304109588</v>
      </c>
      <c r="Z34" s="1128">
        <f t="shared" si="6"/>
        <v>413564.21304109588</v>
      </c>
      <c r="AA34" s="1056">
        <f t="shared" si="7"/>
        <v>4021378.213041096</v>
      </c>
      <c r="AB34" s="1056">
        <v>0</v>
      </c>
      <c r="AC34" s="1056">
        <v>200000</v>
      </c>
      <c r="AD34" s="1056">
        <v>100000</v>
      </c>
      <c r="AE34" s="1056">
        <f t="shared" si="14"/>
        <v>3907814</v>
      </c>
      <c r="AF34" s="1203"/>
    </row>
    <row r="35" spans="1:33" ht="75">
      <c r="A35" s="1056">
        <v>33</v>
      </c>
      <c r="B35" s="1056" t="s">
        <v>3043</v>
      </c>
      <c r="C35" s="1057" t="s">
        <v>3044</v>
      </c>
      <c r="D35" s="1140">
        <v>3957148</v>
      </c>
      <c r="E35" s="1056">
        <f t="shared" si="3"/>
        <v>0</v>
      </c>
      <c r="F35" s="1056">
        <f t="shared" si="10"/>
        <v>3957148</v>
      </c>
      <c r="G35" s="1056">
        <v>3957148</v>
      </c>
      <c r="H35" s="1056"/>
      <c r="I35" s="1056"/>
      <c r="J35" s="1056">
        <f t="shared" si="1"/>
        <v>0</v>
      </c>
      <c r="K35" s="1126">
        <f>300000+400000+300000+30000+350000+50000+720000+564000+200000+643148+11000+389000</f>
        <v>3957148</v>
      </c>
      <c r="L35" s="1130">
        <v>41000</v>
      </c>
      <c r="M35" s="1126">
        <f>3957148-41000</f>
        <v>3916148</v>
      </c>
      <c r="N35" s="1126">
        <f>300000+400000+300000+30000+350000+50000+720000+564000+200000+643148+11000+389000</f>
        <v>3957148</v>
      </c>
      <c r="O35" s="1056" t="s">
        <v>3186</v>
      </c>
      <c r="P35" s="1056"/>
      <c r="Q35" s="1056"/>
      <c r="R35" s="1127">
        <v>41817</v>
      </c>
      <c r="S35" s="1753">
        <f t="shared" si="15"/>
        <v>42914</v>
      </c>
      <c r="T35" s="1753"/>
      <c r="U35" s="1056">
        <f t="shared" si="13"/>
        <v>1.3479452054794521</v>
      </c>
      <c r="V35" s="1198">
        <f t="shared" si="4"/>
        <v>5.3917808219178083</v>
      </c>
      <c r="W35" s="1056">
        <f>$K$35*$U$35*8/100</f>
        <v>426721.49391780823</v>
      </c>
      <c r="X35" s="1056">
        <f>$K$35*$U$35*18/100</f>
        <v>960123.36131506856</v>
      </c>
      <c r="Y35" s="1128">
        <f t="shared" si="5"/>
        <v>426721.49391780829</v>
      </c>
      <c r="Z35" s="1128">
        <f t="shared" si="6"/>
        <v>0</v>
      </c>
      <c r="AA35" s="1056">
        <f t="shared" si="7"/>
        <v>3957148</v>
      </c>
      <c r="AB35" s="1056">
        <f t="shared" ref="AB35:AB66" si="16">+H35*(1+18%/4)^V35</f>
        <v>0</v>
      </c>
      <c r="AC35" s="1056">
        <v>200000</v>
      </c>
      <c r="AD35" s="1056">
        <v>100000</v>
      </c>
      <c r="AE35" s="1056">
        <f t="shared" si="14"/>
        <v>4257148</v>
      </c>
      <c r="AF35" s="1203"/>
    </row>
    <row r="36" spans="1:33">
      <c r="A36" s="1056">
        <v>34</v>
      </c>
      <c r="B36" s="1056" t="s">
        <v>3045</v>
      </c>
      <c r="C36" s="1057" t="s">
        <v>3046</v>
      </c>
      <c r="D36" s="1140">
        <v>2000000</v>
      </c>
      <c r="E36" s="1056">
        <f t="shared" si="3"/>
        <v>0</v>
      </c>
      <c r="F36" s="1056">
        <f t="shared" si="10"/>
        <v>2000000</v>
      </c>
      <c r="G36" s="1056">
        <v>2000000</v>
      </c>
      <c r="H36" s="1056">
        <v>0</v>
      </c>
      <c r="I36" s="1056"/>
      <c r="J36" s="1056">
        <f t="shared" si="1"/>
        <v>0</v>
      </c>
      <c r="K36" s="1126">
        <v>2000000</v>
      </c>
      <c r="L36" s="1126">
        <v>0</v>
      </c>
      <c r="M36" s="1126">
        <f t="shared" si="2"/>
        <v>2000000</v>
      </c>
      <c r="N36" s="1126">
        <f>2000000</f>
        <v>2000000</v>
      </c>
      <c r="O36" s="1134">
        <v>41770</v>
      </c>
      <c r="P36" s="1056"/>
      <c r="Q36" s="1056"/>
      <c r="R36" s="1127">
        <v>41948</v>
      </c>
      <c r="S36" s="1753">
        <f t="shared" si="15"/>
        <v>43045</v>
      </c>
      <c r="T36" s="1753"/>
      <c r="U36" s="1056">
        <f t="shared" si="13"/>
        <v>0.989041095890411</v>
      </c>
      <c r="V36" s="1198">
        <f t="shared" si="4"/>
        <v>3.956164383561644</v>
      </c>
      <c r="W36" s="1056">
        <f>$K$36*$U$36*8/100</f>
        <v>158246.57534246577</v>
      </c>
      <c r="X36" s="1056">
        <f>$K$36*$U$36*18/100</f>
        <v>356054.79452054796</v>
      </c>
      <c r="Y36" s="1128">
        <f t="shared" si="5"/>
        <v>158246.57534246577</v>
      </c>
      <c r="Z36" s="1128">
        <f t="shared" si="6"/>
        <v>0</v>
      </c>
      <c r="AA36" s="1056">
        <f t="shared" si="7"/>
        <v>2000000</v>
      </c>
      <c r="AB36" s="1056">
        <f t="shared" si="16"/>
        <v>0</v>
      </c>
      <c r="AC36" s="1056">
        <v>200000</v>
      </c>
      <c r="AD36" s="1056">
        <v>100000</v>
      </c>
      <c r="AE36" s="1056">
        <f t="shared" si="14"/>
        <v>2300000</v>
      </c>
      <c r="AF36" s="1203"/>
    </row>
    <row r="37" spans="1:33" s="1124" customFormat="1" ht="30">
      <c r="A37" s="1053">
        <v>35</v>
      </c>
      <c r="B37" s="1053" t="s">
        <v>3201</v>
      </c>
      <c r="C37" s="1054" t="s">
        <v>3048</v>
      </c>
      <c r="D37" s="1099">
        <v>1300000</v>
      </c>
      <c r="E37" s="1053">
        <f t="shared" si="3"/>
        <v>1883839.6179136727</v>
      </c>
      <c r="F37" s="1053">
        <f t="shared" si="10"/>
        <v>3183839.6179136727</v>
      </c>
      <c r="G37" s="1053">
        <v>1300000</v>
      </c>
      <c r="H37" s="1053">
        <f>+K37</f>
        <v>1300000</v>
      </c>
      <c r="I37" s="1053">
        <f>+W37</f>
        <v>219112.32876712325</v>
      </c>
      <c r="J37" s="1053">
        <f t="shared" si="1"/>
        <v>1519112.3287671232</v>
      </c>
      <c r="K37" s="1118">
        <f>260000+300000+700000+40000</f>
        <v>1300000</v>
      </c>
      <c r="L37" s="1135">
        <f>260000+40000</f>
        <v>300000</v>
      </c>
      <c r="M37" s="1118">
        <f>+K37-L37</f>
        <v>1000000</v>
      </c>
      <c r="N37" s="1118">
        <f>260000+300000+40000+700000</f>
        <v>1300000</v>
      </c>
      <c r="O37" s="1053" t="s">
        <v>3187</v>
      </c>
      <c r="P37" s="1053"/>
      <c r="Q37" s="1053"/>
      <c r="R37" s="1120">
        <v>41540</v>
      </c>
      <c r="S37" s="1754">
        <f t="shared" si="15"/>
        <v>42637</v>
      </c>
      <c r="T37" s="1754"/>
      <c r="U37" s="1053">
        <f t="shared" si="13"/>
        <v>2.106849315068493</v>
      </c>
      <c r="V37" s="1122">
        <f t="shared" si="4"/>
        <v>8.4273972602739722</v>
      </c>
      <c r="W37" s="1053">
        <f>$H$37*$U$37*8/100</f>
        <v>219112.32876712325</v>
      </c>
      <c r="X37" s="1053">
        <f>$K$37*$U$37*18/100</f>
        <v>493002.7397260273</v>
      </c>
      <c r="Y37" s="1123">
        <f t="shared" si="5"/>
        <v>219112.32876712328</v>
      </c>
      <c r="Z37" s="1123">
        <f t="shared" si="6"/>
        <v>219112.32876712328</v>
      </c>
      <c r="AA37" s="1053">
        <f t="shared" si="7"/>
        <v>1519112.3287671232</v>
      </c>
      <c r="AB37" s="1053">
        <f t="shared" si="16"/>
        <v>1883839.6179136727</v>
      </c>
      <c r="AC37" s="1053">
        <v>200000</v>
      </c>
      <c r="AD37" s="1053">
        <v>100000</v>
      </c>
      <c r="AE37" s="1053">
        <f t="shared" si="14"/>
        <v>3483839.6179136727</v>
      </c>
      <c r="AF37" s="1202"/>
      <c r="AG37" s="1053"/>
    </row>
    <row r="38" spans="1:33" s="1124" customFormat="1" ht="30">
      <c r="A38" s="1053">
        <v>36</v>
      </c>
      <c r="B38" s="1053" t="s">
        <v>3049</v>
      </c>
      <c r="C38" s="1054" t="s">
        <v>3050</v>
      </c>
      <c r="D38" s="1099">
        <v>2000000</v>
      </c>
      <c r="E38" s="1053">
        <f t="shared" si="3"/>
        <v>2612699.4070427809</v>
      </c>
      <c r="F38" s="1053">
        <f t="shared" si="10"/>
        <v>4612699.4070427809</v>
      </c>
      <c r="G38" s="1053">
        <v>2000000</v>
      </c>
      <c r="H38" s="1053">
        <v>2000000</v>
      </c>
      <c r="I38" s="1053"/>
      <c r="J38" s="1053">
        <f t="shared" si="1"/>
        <v>2000000</v>
      </c>
      <c r="K38" s="1135">
        <f>2000000</f>
        <v>2000000</v>
      </c>
      <c r="L38" s="1135">
        <v>2000000</v>
      </c>
      <c r="M38" s="1118">
        <f t="shared" si="2"/>
        <v>0</v>
      </c>
      <c r="N38" s="1135">
        <f>2000000</f>
        <v>2000000</v>
      </c>
      <c r="O38" s="1053" t="s">
        <v>3188</v>
      </c>
      <c r="P38" s="1053"/>
      <c r="Q38" s="1053"/>
      <c r="R38" s="1120">
        <v>41755</v>
      </c>
      <c r="S38" s="1754">
        <f t="shared" si="15"/>
        <v>42852</v>
      </c>
      <c r="T38" s="1754"/>
      <c r="U38" s="1053">
        <f t="shared" si="13"/>
        <v>1.5178082191780822</v>
      </c>
      <c r="V38" s="1122">
        <f t="shared" si="4"/>
        <v>6.0712328767123287</v>
      </c>
      <c r="W38" s="1053">
        <f>$K$38*$U$38*8/100</f>
        <v>242849.31506849316</v>
      </c>
      <c r="X38" s="1053">
        <f>$K$38*$U$38*18/100</f>
        <v>546410.95890410955</v>
      </c>
      <c r="Y38" s="1123">
        <f t="shared" si="5"/>
        <v>242849.31506849316</v>
      </c>
      <c r="Z38" s="1123">
        <f t="shared" ref="Z38:Z69" si="17">$H38*8/100*$U38</f>
        <v>242849.31506849316</v>
      </c>
      <c r="AA38" s="1053">
        <f t="shared" ref="AA38:AA69" si="18">+D38+Z38</f>
        <v>2242849.3150684931</v>
      </c>
      <c r="AB38" s="1053">
        <f t="shared" si="16"/>
        <v>2612699.4070427809</v>
      </c>
      <c r="AC38" s="1053">
        <v>200000</v>
      </c>
      <c r="AD38" s="1053">
        <v>100000</v>
      </c>
      <c r="AE38" s="1053">
        <f t="shared" si="14"/>
        <v>4912699.4070427809</v>
      </c>
      <c r="AF38" s="1202"/>
      <c r="AG38" s="1053"/>
    </row>
    <row r="39" spans="1:33" s="1124" customFormat="1">
      <c r="A39" s="1053">
        <v>37</v>
      </c>
      <c r="B39" s="1053" t="s">
        <v>3051</v>
      </c>
      <c r="C39" s="1054" t="s">
        <v>3052</v>
      </c>
      <c r="D39" s="1099">
        <v>7000000</v>
      </c>
      <c r="E39" s="1053">
        <f t="shared" si="3"/>
        <v>7050833.2508680709</v>
      </c>
      <c r="F39" s="1053">
        <f t="shared" si="10"/>
        <v>14050833.250868071</v>
      </c>
      <c r="G39" s="1053">
        <v>7000000</v>
      </c>
      <c r="H39" s="1053">
        <f>+K39</f>
        <v>7000000</v>
      </c>
      <c r="I39" s="1053">
        <f>+W39</f>
        <v>1357808.219178082</v>
      </c>
      <c r="J39" s="1053">
        <f t="shared" si="1"/>
        <v>8357808.2191780824</v>
      </c>
      <c r="K39" s="1135">
        <f>2500000+2500000+1200000+300000+500000</f>
        <v>7000000</v>
      </c>
      <c r="L39" s="1135">
        <v>0</v>
      </c>
      <c r="M39" s="1118">
        <f t="shared" si="2"/>
        <v>7000000</v>
      </c>
      <c r="N39" s="1135">
        <f>2500000+2500000+1200000+300000+500000</f>
        <v>7000000</v>
      </c>
      <c r="O39" s="1053"/>
      <c r="P39" s="1053"/>
      <c r="Q39" s="1053"/>
      <c r="R39" s="1120">
        <v>41424</v>
      </c>
      <c r="S39" s="1754">
        <f t="shared" si="15"/>
        <v>42521</v>
      </c>
      <c r="T39" s="1754"/>
      <c r="U39" s="1053">
        <f t="shared" si="13"/>
        <v>2.4246575342465753</v>
      </c>
      <c r="V39" s="1122">
        <f t="shared" si="4"/>
        <v>9.6986301369863011</v>
      </c>
      <c r="W39" s="1053">
        <f>$H$39*$U$39*8/100</f>
        <v>1357808.219178082</v>
      </c>
      <c r="X39" s="1053">
        <f>$K$39*$U$39*18/100</f>
        <v>3055068.493150685</v>
      </c>
      <c r="Y39" s="1123">
        <f t="shared" si="5"/>
        <v>1357808.2191780822</v>
      </c>
      <c r="Z39" s="1123">
        <f t="shared" si="17"/>
        <v>1357808.2191780822</v>
      </c>
      <c r="AA39" s="1053">
        <f t="shared" si="18"/>
        <v>8357808.2191780824</v>
      </c>
      <c r="AB39" s="1053">
        <v>7050833.2508680709</v>
      </c>
      <c r="AC39" s="1053">
        <v>200000</v>
      </c>
      <c r="AD39" s="1053">
        <v>100000</v>
      </c>
      <c r="AE39" s="1053">
        <f t="shared" si="14"/>
        <v>14350833.250868071</v>
      </c>
      <c r="AF39" s="1202"/>
      <c r="AG39" s="1053"/>
    </row>
    <row r="40" spans="1:33">
      <c r="A40" s="1056">
        <v>38</v>
      </c>
      <c r="B40" s="1056" t="s">
        <v>3053</v>
      </c>
      <c r="C40" s="1057" t="s">
        <v>3054</v>
      </c>
      <c r="D40" s="1140">
        <v>2209839</v>
      </c>
      <c r="E40" s="1056">
        <f t="shared" si="3"/>
        <v>0</v>
      </c>
      <c r="F40" s="1056">
        <f t="shared" si="10"/>
        <v>2209839</v>
      </c>
      <c r="G40" s="1056">
        <v>2209839</v>
      </c>
      <c r="H40" s="1056"/>
      <c r="I40" s="1056"/>
      <c r="J40" s="1056">
        <f t="shared" si="1"/>
        <v>0</v>
      </c>
      <c r="K40" s="1126">
        <f>585557+555532+668750+400000</f>
        <v>2209839</v>
      </c>
      <c r="L40" s="1126">
        <v>0</v>
      </c>
      <c r="M40" s="1126">
        <f t="shared" si="2"/>
        <v>2209839</v>
      </c>
      <c r="N40" s="1126">
        <v>0</v>
      </c>
      <c r="O40" s="1056" t="s">
        <v>3189</v>
      </c>
      <c r="P40" s="1056"/>
      <c r="Q40" s="1056"/>
      <c r="R40" s="1127">
        <v>41424</v>
      </c>
      <c r="S40" s="1753">
        <f t="shared" si="15"/>
        <v>42521</v>
      </c>
      <c r="T40" s="1753"/>
      <c r="U40" s="1056">
        <f t="shared" si="13"/>
        <v>2.4246575342465753</v>
      </c>
      <c r="V40" s="1198">
        <f t="shared" si="4"/>
        <v>9.6986301369863011</v>
      </c>
      <c r="W40" s="1056">
        <f>K40*U40*8/100</f>
        <v>428648.22246575338</v>
      </c>
      <c r="X40" s="1056">
        <f>K40*U40*18/100</f>
        <v>964458.50054794515</v>
      </c>
      <c r="Y40" s="1128">
        <f t="shared" si="5"/>
        <v>428648.22246575338</v>
      </c>
      <c r="Z40" s="1128">
        <f t="shared" si="17"/>
        <v>0</v>
      </c>
      <c r="AA40" s="1056">
        <f t="shared" si="18"/>
        <v>2209839</v>
      </c>
      <c r="AB40" s="1056">
        <f t="shared" si="16"/>
        <v>0</v>
      </c>
      <c r="AC40" s="1056">
        <v>200000</v>
      </c>
      <c r="AD40" s="1056">
        <v>100000</v>
      </c>
      <c r="AE40" s="1056">
        <f t="shared" si="14"/>
        <v>2509839</v>
      </c>
      <c r="AF40" s="1203"/>
    </row>
    <row r="41" spans="1:33">
      <c r="A41" s="1056">
        <v>39</v>
      </c>
      <c r="B41" s="1056" t="s">
        <v>3055</v>
      </c>
      <c r="C41" s="1057" t="s">
        <v>3056</v>
      </c>
      <c r="D41" s="1140">
        <v>1700000</v>
      </c>
      <c r="E41" s="1056">
        <f t="shared" si="3"/>
        <v>0</v>
      </c>
      <c r="F41" s="1056">
        <f t="shared" si="10"/>
        <v>1700000</v>
      </c>
      <c r="G41" s="1056">
        <v>1700000</v>
      </c>
      <c r="H41" s="1056"/>
      <c r="I41" s="1056"/>
      <c r="J41" s="1056">
        <f t="shared" si="1"/>
        <v>0</v>
      </c>
      <c r="K41" s="1130">
        <v>1700000</v>
      </c>
      <c r="L41" s="1130">
        <v>0</v>
      </c>
      <c r="M41" s="1126">
        <f t="shared" si="2"/>
        <v>1700000</v>
      </c>
      <c r="N41" s="1130">
        <v>1700000</v>
      </c>
      <c r="O41" s="1056"/>
      <c r="P41" s="1056"/>
      <c r="Q41" s="1056"/>
      <c r="R41" s="1127">
        <v>41268</v>
      </c>
      <c r="S41" s="1753">
        <f t="shared" si="15"/>
        <v>42365</v>
      </c>
      <c r="T41" s="1753"/>
      <c r="U41" s="1056">
        <f t="shared" si="13"/>
        <v>2.8520547945205479</v>
      </c>
      <c r="V41" s="1198">
        <f t="shared" si="4"/>
        <v>11.408219178082192</v>
      </c>
      <c r="W41" s="1056">
        <f>$K$41*$U$41*8/100</f>
        <v>387879.45205479453</v>
      </c>
      <c r="X41" s="1056">
        <f>$K$41*$U$41*18/100</f>
        <v>872728.76712328766</v>
      </c>
      <c r="Y41" s="1128">
        <f t="shared" si="5"/>
        <v>387879.45205479453</v>
      </c>
      <c r="Z41" s="1128">
        <f t="shared" si="17"/>
        <v>0</v>
      </c>
      <c r="AA41" s="1056">
        <f t="shared" si="18"/>
        <v>1700000</v>
      </c>
      <c r="AB41" s="1056">
        <f t="shared" si="16"/>
        <v>0</v>
      </c>
      <c r="AC41" s="1056">
        <v>200000</v>
      </c>
      <c r="AD41" s="1056">
        <v>100000</v>
      </c>
      <c r="AE41" s="1056">
        <f t="shared" si="14"/>
        <v>2000000</v>
      </c>
      <c r="AF41" s="1203"/>
    </row>
    <row r="42" spans="1:33" ht="30">
      <c r="A42" s="1056">
        <v>40</v>
      </c>
      <c r="B42" s="1056" t="s">
        <v>3057</v>
      </c>
      <c r="C42" s="1057" t="s">
        <v>3058</v>
      </c>
      <c r="D42" s="1140">
        <v>1700000</v>
      </c>
      <c r="E42" s="1056">
        <f t="shared" si="3"/>
        <v>0</v>
      </c>
      <c r="F42" s="1056">
        <f t="shared" si="10"/>
        <v>1700000</v>
      </c>
      <c r="G42" s="1056">
        <v>1700000</v>
      </c>
      <c r="H42" s="1056"/>
      <c r="I42" s="1056"/>
      <c r="J42" s="1056">
        <f t="shared" si="1"/>
        <v>0</v>
      </c>
      <c r="K42" s="1130" t="s">
        <v>3190</v>
      </c>
      <c r="L42" s="1130">
        <v>0</v>
      </c>
      <c r="M42" s="1126" t="e">
        <f t="shared" si="2"/>
        <v>#VALUE!</v>
      </c>
      <c r="N42" s="1130">
        <v>1700000</v>
      </c>
      <c r="O42" s="1056"/>
      <c r="P42" s="1056"/>
      <c r="Q42" s="1056"/>
      <c r="R42" s="1127">
        <v>41268</v>
      </c>
      <c r="S42" s="1753">
        <f t="shared" si="15"/>
        <v>42365</v>
      </c>
      <c r="T42" s="1753"/>
      <c r="U42" s="1056">
        <f t="shared" si="13"/>
        <v>2.8520547945205479</v>
      </c>
      <c r="V42" s="1198">
        <f t="shared" si="4"/>
        <v>11.408219178082192</v>
      </c>
      <c r="W42" s="1056" t="e">
        <f>$K$42*$U$42*8/100</f>
        <v>#VALUE!</v>
      </c>
      <c r="X42" s="1056" t="e">
        <f>$K$42*$U$42*18/100</f>
        <v>#VALUE!</v>
      </c>
      <c r="Y42" s="1128">
        <f t="shared" si="5"/>
        <v>387879.45205479453</v>
      </c>
      <c r="Z42" s="1128">
        <f t="shared" si="17"/>
        <v>0</v>
      </c>
      <c r="AA42" s="1056">
        <f t="shared" si="18"/>
        <v>1700000</v>
      </c>
      <c r="AB42" s="1056">
        <f t="shared" si="16"/>
        <v>0</v>
      </c>
      <c r="AC42" s="1056">
        <v>200000</v>
      </c>
      <c r="AD42" s="1056">
        <v>100000</v>
      </c>
      <c r="AE42" s="1056">
        <f t="shared" si="14"/>
        <v>2000000</v>
      </c>
      <c r="AF42" s="1203"/>
    </row>
    <row r="43" spans="1:33">
      <c r="A43" s="1056">
        <v>41</v>
      </c>
      <c r="B43" s="1056" t="s">
        <v>3059</v>
      </c>
      <c r="C43" s="1057" t="s">
        <v>3060</v>
      </c>
      <c r="D43" s="1140">
        <v>5181947</v>
      </c>
      <c r="E43" s="1056">
        <f t="shared" si="3"/>
        <v>0</v>
      </c>
      <c r="F43" s="1056">
        <f t="shared" si="10"/>
        <v>5181947</v>
      </c>
      <c r="G43" s="1056">
        <v>5181947</v>
      </c>
      <c r="H43" s="1141">
        <v>0</v>
      </c>
      <c r="I43" s="1056"/>
      <c r="J43" s="1056">
        <f t="shared" si="1"/>
        <v>0</v>
      </c>
      <c r="K43" s="1126">
        <f>400000+1000000</f>
        <v>1400000</v>
      </c>
      <c r="L43" s="1130">
        <v>0</v>
      </c>
      <c r="M43" s="1126">
        <v>1400000</v>
      </c>
      <c r="N43" s="1126">
        <f>400000+1000000</f>
        <v>1400000</v>
      </c>
      <c r="O43" s="1056"/>
      <c r="P43" s="1056"/>
      <c r="Q43" s="1056"/>
      <c r="R43" s="1127">
        <v>42552</v>
      </c>
      <c r="S43" s="1753">
        <f>+R43+(365*2)+2</f>
        <v>43284</v>
      </c>
      <c r="T43" s="1753"/>
      <c r="U43" s="1056">
        <f t="shared" si="13"/>
        <v>0.33424657534246577</v>
      </c>
      <c r="V43" s="1198">
        <f t="shared" si="4"/>
        <v>1.3369863013698631</v>
      </c>
      <c r="W43" s="1141">
        <f>$K$43*$U$43*8/100</f>
        <v>37435.61643835617</v>
      </c>
      <c r="X43" s="1141">
        <f>$K$43*$U$43*18/100</f>
        <v>84230.136986301368</v>
      </c>
      <c r="Y43" s="1128">
        <f t="shared" si="5"/>
        <v>138563.84306849315</v>
      </c>
      <c r="Z43" s="1128">
        <f t="shared" si="17"/>
        <v>0</v>
      </c>
      <c r="AA43" s="1056">
        <f t="shared" si="18"/>
        <v>5181947</v>
      </c>
      <c r="AB43" s="1056">
        <f t="shared" si="16"/>
        <v>0</v>
      </c>
      <c r="AC43" s="1056">
        <v>200000</v>
      </c>
      <c r="AD43" s="1056">
        <v>100000</v>
      </c>
      <c r="AE43" s="1056">
        <f t="shared" si="14"/>
        <v>5481947</v>
      </c>
      <c r="AF43" s="1203"/>
    </row>
    <row r="44" spans="1:33" s="1112" customFormat="1">
      <c r="A44" s="1050">
        <v>42</v>
      </c>
      <c r="B44" s="1050" t="s">
        <v>3061</v>
      </c>
      <c r="C44" s="1051" t="s">
        <v>3062</v>
      </c>
      <c r="D44" s="1138">
        <v>992688</v>
      </c>
      <c r="E44" s="1050">
        <f t="shared" si="3"/>
        <v>1300801.5450612521</v>
      </c>
      <c r="F44" s="1050">
        <f t="shared" si="10"/>
        <v>2293489.5450612521</v>
      </c>
      <c r="G44" s="1050">
        <v>992688</v>
      </c>
      <c r="H44" s="1050">
        <v>842688</v>
      </c>
      <c r="I44" s="1050"/>
      <c r="J44" s="1050">
        <f t="shared" si="1"/>
        <v>842688</v>
      </c>
      <c r="K44" s="1107">
        <f>842688</f>
        <v>842688</v>
      </c>
      <c r="L44" s="1107">
        <v>0</v>
      </c>
      <c r="M44" s="1107">
        <f>+K44-L44</f>
        <v>842688</v>
      </c>
      <c r="N44" s="1107">
        <v>842688</v>
      </c>
      <c r="O44" s="1050" t="s">
        <v>3191</v>
      </c>
      <c r="P44" s="1139"/>
      <c r="Q44" s="1050"/>
      <c r="R44" s="1108">
        <v>41409</v>
      </c>
      <c r="S44" s="1755">
        <f>+R44+(365*3)+2</f>
        <v>42506</v>
      </c>
      <c r="T44" s="1755"/>
      <c r="U44" s="1050">
        <f t="shared" si="13"/>
        <v>2.4657534246575343</v>
      </c>
      <c r="V44" s="1110">
        <f t="shared" si="4"/>
        <v>9.8630136986301373</v>
      </c>
      <c r="W44" s="1139">
        <f>$K$44*$U$44*8/100</f>
        <v>166228.86575342467</v>
      </c>
      <c r="X44" s="1139">
        <f>$K$44*$U$44*18/100</f>
        <v>374014.94794520549</v>
      </c>
      <c r="Y44" s="1111">
        <f t="shared" si="5"/>
        <v>195817.90684931507</v>
      </c>
      <c r="Z44" s="1111">
        <f t="shared" si="17"/>
        <v>166228.86575342464</v>
      </c>
      <c r="AA44" s="1050">
        <f t="shared" si="18"/>
        <v>1158916.8657534246</v>
      </c>
      <c r="AB44" s="1050">
        <f t="shared" si="16"/>
        <v>1300801.5450612521</v>
      </c>
      <c r="AC44" s="1050">
        <v>200000</v>
      </c>
      <c r="AD44" s="1050">
        <v>100000</v>
      </c>
      <c r="AE44" s="1050">
        <f t="shared" si="14"/>
        <v>2593489.5450612521</v>
      </c>
      <c r="AF44" s="1200"/>
      <c r="AG44" s="1050"/>
    </row>
    <row r="45" spans="1:33" s="1117" customFormat="1" ht="30">
      <c r="A45" s="1052">
        <v>43</v>
      </c>
      <c r="B45" s="1052" t="s">
        <v>3063</v>
      </c>
      <c r="C45" s="1055" t="s">
        <v>3064</v>
      </c>
      <c r="D45" s="1142">
        <v>1137500</v>
      </c>
      <c r="E45" s="1052">
        <f t="shared" si="3"/>
        <v>1410036464372869.2</v>
      </c>
      <c r="F45" s="1052">
        <f t="shared" si="10"/>
        <v>1410036465510369.2</v>
      </c>
      <c r="G45" s="1052">
        <v>1137500</v>
      </c>
      <c r="H45" s="1052">
        <f>+K45</f>
        <v>1137500</v>
      </c>
      <c r="I45" s="1052">
        <f>+W45</f>
        <v>0</v>
      </c>
      <c r="J45" s="1052">
        <f t="shared" si="1"/>
        <v>1137500</v>
      </c>
      <c r="K45" s="1113">
        <f>150000+50000+100000+100000+63500+300000+174000+200000</f>
        <v>1137500</v>
      </c>
      <c r="L45" s="1125">
        <f>1137500-300000</f>
        <v>837500</v>
      </c>
      <c r="M45" s="1113">
        <f>+K45-L45</f>
        <v>300000</v>
      </c>
      <c r="N45" s="1113">
        <f>63500+300000+174000+200000</f>
        <v>737500</v>
      </c>
      <c r="O45" s="1131">
        <v>41432</v>
      </c>
      <c r="P45" s="1052"/>
      <c r="Q45" s="1052"/>
      <c r="R45" s="1114"/>
      <c r="S45" s="1752"/>
      <c r="T45" s="1752"/>
      <c r="U45" s="1052"/>
      <c r="V45" s="1115">
        <f t="shared" si="4"/>
        <v>475.68219178082194</v>
      </c>
      <c r="W45" s="1052"/>
      <c r="X45" s="1052"/>
      <c r="Y45" s="1116">
        <f t="shared" si="5"/>
        <v>0</v>
      </c>
      <c r="Z45" s="1116">
        <f t="shared" si="17"/>
        <v>0</v>
      </c>
      <c r="AA45" s="1052">
        <f t="shared" si="18"/>
        <v>1137500</v>
      </c>
      <c r="AB45" s="1052">
        <f t="shared" si="16"/>
        <v>1410036464372869.2</v>
      </c>
      <c r="AC45" s="1052">
        <v>200000</v>
      </c>
      <c r="AD45" s="1052">
        <v>100000</v>
      </c>
      <c r="AE45" s="1052">
        <f t="shared" si="14"/>
        <v>1410036465810369.2</v>
      </c>
      <c r="AF45" s="1201"/>
      <c r="AG45" s="1052"/>
    </row>
    <row r="46" spans="1:33" s="1117" customFormat="1" ht="30">
      <c r="A46" s="1052">
        <v>44</v>
      </c>
      <c r="B46" s="1052" t="s">
        <v>3065</v>
      </c>
      <c r="C46" s="1055" t="s">
        <v>3066</v>
      </c>
      <c r="D46" s="1142">
        <v>1137726</v>
      </c>
      <c r="E46" s="1052">
        <f t="shared" si="3"/>
        <v>1410316612276999.7</v>
      </c>
      <c r="F46" s="1052">
        <f t="shared" si="10"/>
        <v>1410316613414725.7</v>
      </c>
      <c r="G46" s="1052">
        <v>1137726</v>
      </c>
      <c r="H46" s="1052">
        <f>+K46</f>
        <v>1137726</v>
      </c>
      <c r="I46" s="1052">
        <f>+W46</f>
        <v>0</v>
      </c>
      <c r="J46" s="1052">
        <f t="shared" si="1"/>
        <v>1137726</v>
      </c>
      <c r="K46" s="1113">
        <f>285216+39000+463510+300000+50000</f>
        <v>1137726</v>
      </c>
      <c r="L46" s="1125">
        <v>89000</v>
      </c>
      <c r="M46" s="1113">
        <f>1137726-89000</f>
        <v>1048726</v>
      </c>
      <c r="N46" s="1113">
        <f>285216+39000+50000</f>
        <v>374216</v>
      </c>
      <c r="O46" s="1052" t="s">
        <v>3187</v>
      </c>
      <c r="P46" s="1052"/>
      <c r="Q46" s="1052"/>
      <c r="R46" s="1114"/>
      <c r="S46" s="1752"/>
      <c r="T46" s="1752"/>
      <c r="U46" s="1052"/>
      <c r="V46" s="1115">
        <f t="shared" si="4"/>
        <v>475.68219178082194</v>
      </c>
      <c r="W46" s="1052"/>
      <c r="X46" s="1052"/>
      <c r="Y46" s="1116">
        <f t="shared" si="5"/>
        <v>0</v>
      </c>
      <c r="Z46" s="1116">
        <f t="shared" si="17"/>
        <v>0</v>
      </c>
      <c r="AA46" s="1052">
        <f t="shared" si="18"/>
        <v>1137726</v>
      </c>
      <c r="AB46" s="1052">
        <f t="shared" si="16"/>
        <v>1410316612276999.7</v>
      </c>
      <c r="AC46" s="1052">
        <v>200000</v>
      </c>
      <c r="AD46" s="1052">
        <v>100000</v>
      </c>
      <c r="AE46" s="1052">
        <f t="shared" si="14"/>
        <v>1410316613714725.7</v>
      </c>
      <c r="AF46" s="1201"/>
      <c r="AG46" s="1052"/>
    </row>
    <row r="47" spans="1:33" ht="30">
      <c r="A47" s="1056">
        <v>45</v>
      </c>
      <c r="B47" s="1056" t="s">
        <v>3067</v>
      </c>
      <c r="C47" s="1057" t="s">
        <v>3068</v>
      </c>
      <c r="D47" s="1140">
        <v>4500000</v>
      </c>
      <c r="E47" s="1056">
        <f t="shared" si="3"/>
        <v>0</v>
      </c>
      <c r="F47" s="1056">
        <f t="shared" si="10"/>
        <v>4500000</v>
      </c>
      <c r="G47" s="1056">
        <v>4500000</v>
      </c>
      <c r="H47" s="1056"/>
      <c r="I47" s="1056"/>
      <c r="J47" s="1056">
        <f t="shared" si="1"/>
        <v>0</v>
      </c>
      <c r="K47" s="1130">
        <f>500000+1044504+917802+917802+619892</f>
        <v>4000000</v>
      </c>
      <c r="L47" s="1130">
        <v>4000000</v>
      </c>
      <c r="M47" s="1126">
        <f t="shared" si="2"/>
        <v>0</v>
      </c>
      <c r="N47" s="1130">
        <f>500000+1044504+917802+917802+619892</f>
        <v>4000000</v>
      </c>
      <c r="O47" s="1057" t="s">
        <v>3192</v>
      </c>
      <c r="P47" s="1056"/>
      <c r="Q47" s="1056"/>
      <c r="R47" s="1127">
        <v>41807</v>
      </c>
      <c r="S47" s="1753">
        <f>+R47+(365*3)+2</f>
        <v>42904</v>
      </c>
      <c r="T47" s="1753"/>
      <c r="U47" s="1056">
        <f>($X$1-S47)/365</f>
        <v>1.3753424657534246</v>
      </c>
      <c r="V47" s="1198">
        <f t="shared" si="4"/>
        <v>5.5013698630136982</v>
      </c>
      <c r="W47" s="1141">
        <f>$K$47*$U$47*8/100</f>
        <v>440109.58904109581</v>
      </c>
      <c r="X47" s="1141">
        <f>$K$47*$U$47*18/100</f>
        <v>990246.57534246566</v>
      </c>
      <c r="Y47" s="1128">
        <f t="shared" si="5"/>
        <v>495123.28767123283</v>
      </c>
      <c r="Z47" s="1128">
        <f t="shared" si="17"/>
        <v>0</v>
      </c>
      <c r="AA47" s="1056">
        <f t="shared" si="18"/>
        <v>4500000</v>
      </c>
      <c r="AB47" s="1056">
        <f t="shared" si="16"/>
        <v>0</v>
      </c>
      <c r="AC47" s="1056">
        <v>200000</v>
      </c>
      <c r="AD47" s="1056">
        <v>100000</v>
      </c>
      <c r="AE47" s="1056">
        <f t="shared" si="14"/>
        <v>4800000</v>
      </c>
      <c r="AF47" s="1203"/>
    </row>
    <row r="48" spans="1:33">
      <c r="A48" s="1056">
        <v>46</v>
      </c>
      <c r="B48" s="1056" t="s">
        <v>3069</v>
      </c>
      <c r="C48" s="1057" t="s">
        <v>3070</v>
      </c>
      <c r="D48" s="1143">
        <v>4500000</v>
      </c>
      <c r="E48" s="1056">
        <f t="shared" si="3"/>
        <v>0</v>
      </c>
      <c r="F48" s="1056">
        <f t="shared" si="10"/>
        <v>4500000</v>
      </c>
      <c r="G48" s="1056">
        <v>4500000</v>
      </c>
      <c r="H48" s="1056"/>
      <c r="I48" s="1056"/>
      <c r="J48" s="1056">
        <f t="shared" si="1"/>
        <v>0</v>
      </c>
      <c r="K48" s="1130">
        <f>500000+1906090+962436+962436+169038</f>
        <v>4500000</v>
      </c>
      <c r="L48" s="1130">
        <v>4500000</v>
      </c>
      <c r="M48" s="1126">
        <f t="shared" si="2"/>
        <v>0</v>
      </c>
      <c r="N48" s="1130">
        <f>500000+1906090+962436+962436+169038</f>
        <v>4500000</v>
      </c>
      <c r="O48" s="1056" t="s">
        <v>3192</v>
      </c>
      <c r="P48" s="1056"/>
      <c r="Q48" s="1056"/>
      <c r="R48" s="1127">
        <v>41807</v>
      </c>
      <c r="S48" s="1753">
        <f>+R48+(365*3)+2</f>
        <v>42904</v>
      </c>
      <c r="T48" s="1753"/>
      <c r="U48" s="1056">
        <f>($X$1-S48)/365</f>
        <v>1.3753424657534246</v>
      </c>
      <c r="V48" s="1198">
        <f t="shared" si="4"/>
        <v>5.5013698630136982</v>
      </c>
      <c r="W48" s="1141">
        <f>$K$48*$U$48*8/100</f>
        <v>495123.28767123283</v>
      </c>
      <c r="X48" s="1141">
        <f>$K$48*$U$48*18/100</f>
        <v>1114027.3972602738</v>
      </c>
      <c r="Y48" s="1128">
        <f t="shared" si="5"/>
        <v>495123.28767123283</v>
      </c>
      <c r="Z48" s="1128">
        <f t="shared" si="17"/>
        <v>0</v>
      </c>
      <c r="AA48" s="1056">
        <f t="shared" si="18"/>
        <v>4500000</v>
      </c>
      <c r="AB48" s="1056">
        <f t="shared" si="16"/>
        <v>0</v>
      </c>
      <c r="AC48" s="1056">
        <v>200000</v>
      </c>
      <c r="AD48" s="1056">
        <v>100000</v>
      </c>
      <c r="AE48" s="1056">
        <f t="shared" si="14"/>
        <v>4800000</v>
      </c>
      <c r="AF48" s="1203"/>
    </row>
    <row r="49" spans="1:34">
      <c r="A49" s="1056"/>
      <c r="B49" s="429"/>
      <c r="C49" s="456"/>
      <c r="D49" s="456"/>
      <c r="E49" s="1056">
        <f t="shared" si="3"/>
        <v>0</v>
      </c>
      <c r="F49" s="1056">
        <f t="shared" si="10"/>
        <v>0</v>
      </c>
      <c r="G49" s="1056"/>
      <c r="H49" s="1056"/>
      <c r="I49" s="1056"/>
      <c r="J49" s="1056">
        <f t="shared" si="1"/>
        <v>0</v>
      </c>
      <c r="K49" s="1126"/>
      <c r="L49" s="1126"/>
      <c r="M49" s="1126">
        <f t="shared" si="2"/>
        <v>0</v>
      </c>
      <c r="N49" s="1126"/>
      <c r="O49" s="1056"/>
      <c r="P49" s="1056"/>
      <c r="Q49" s="1056"/>
      <c r="R49" s="1127"/>
      <c r="S49" s="1753"/>
      <c r="T49" s="1753"/>
      <c r="U49" s="1056"/>
      <c r="V49" s="1198">
        <f t="shared" si="4"/>
        <v>475.68219178082194</v>
      </c>
      <c r="W49" s="1056"/>
      <c r="X49" s="1056"/>
      <c r="Y49" s="1128">
        <f t="shared" si="5"/>
        <v>0</v>
      </c>
      <c r="Z49" s="1128">
        <f t="shared" si="17"/>
        <v>0</v>
      </c>
      <c r="AA49" s="1056">
        <f t="shared" si="18"/>
        <v>0</v>
      </c>
      <c r="AB49" s="1056">
        <f t="shared" si="16"/>
        <v>0</v>
      </c>
      <c r="AC49" s="1056">
        <v>200000</v>
      </c>
      <c r="AD49" s="1056">
        <v>100000</v>
      </c>
      <c r="AE49" s="1056">
        <f t="shared" si="14"/>
        <v>300000</v>
      </c>
      <c r="AF49" s="1203"/>
    </row>
    <row r="50" spans="1:34">
      <c r="A50" s="1056"/>
      <c r="B50" s="1056"/>
      <c r="C50" s="1056"/>
      <c r="D50" s="1056"/>
      <c r="E50" s="1056">
        <f t="shared" si="3"/>
        <v>0</v>
      </c>
      <c r="F50" s="1056">
        <f t="shared" si="10"/>
        <v>0</v>
      </c>
      <c r="G50" s="1056"/>
      <c r="H50" s="1056"/>
      <c r="I50" s="1056"/>
      <c r="J50" s="1056">
        <f t="shared" si="1"/>
        <v>0</v>
      </c>
      <c r="K50" s="1126"/>
      <c r="L50" s="1126"/>
      <c r="M50" s="1126">
        <f t="shared" si="2"/>
        <v>0</v>
      </c>
      <c r="N50" s="1126"/>
      <c r="O50" s="1056"/>
      <c r="P50" s="1056"/>
      <c r="Q50" s="1056"/>
      <c r="R50" s="1127"/>
      <c r="S50" s="1753"/>
      <c r="T50" s="1753"/>
      <c r="U50" s="1056"/>
      <c r="V50" s="1198">
        <f t="shared" si="4"/>
        <v>475.68219178082194</v>
      </c>
      <c r="W50" s="1056"/>
      <c r="X50" s="1056"/>
      <c r="Y50" s="1128">
        <f t="shared" si="5"/>
        <v>0</v>
      </c>
      <c r="Z50" s="1128">
        <f t="shared" si="17"/>
        <v>0</v>
      </c>
      <c r="AA50" s="1056">
        <f t="shared" si="18"/>
        <v>0</v>
      </c>
      <c r="AB50" s="1056">
        <f t="shared" si="16"/>
        <v>0</v>
      </c>
      <c r="AC50" s="1056">
        <v>200000</v>
      </c>
      <c r="AD50" s="1056">
        <v>100000</v>
      </c>
      <c r="AE50" s="1056">
        <f t="shared" si="14"/>
        <v>300000</v>
      </c>
      <c r="AF50" s="1203"/>
    </row>
    <row r="51" spans="1:34">
      <c r="A51" s="1056">
        <v>47</v>
      </c>
      <c r="B51" s="1056" t="s">
        <v>3071</v>
      </c>
      <c r="C51" s="1057" t="s">
        <v>3072</v>
      </c>
      <c r="D51" s="1056">
        <v>5888630</v>
      </c>
      <c r="E51" s="1056">
        <f t="shared" si="3"/>
        <v>0</v>
      </c>
      <c r="F51" s="1056">
        <f t="shared" si="10"/>
        <v>5888630</v>
      </c>
      <c r="G51" s="1056">
        <v>5888630</v>
      </c>
      <c r="H51" s="1056">
        <v>0</v>
      </c>
      <c r="I51" s="1056">
        <v>0</v>
      </c>
      <c r="J51" s="1056">
        <f t="shared" si="1"/>
        <v>0</v>
      </c>
      <c r="K51" s="1126">
        <f>1000000+10000+300000</f>
        <v>1310000</v>
      </c>
      <c r="L51" s="1126">
        <v>10000</v>
      </c>
      <c r="M51" s="1126">
        <f t="shared" si="2"/>
        <v>1300000</v>
      </c>
      <c r="N51" s="1126">
        <v>1310000</v>
      </c>
      <c r="O51" s="1056"/>
      <c r="P51" s="1056"/>
      <c r="Q51" s="1056" t="s">
        <v>3193</v>
      </c>
      <c r="R51" s="1127">
        <v>41638</v>
      </c>
      <c r="S51" s="1753">
        <f>R51+(365*3)+2</f>
        <v>42735</v>
      </c>
      <c r="T51" s="1753"/>
      <c r="U51" s="1056">
        <f>($X$1-S51)/365</f>
        <v>1.8383561643835618</v>
      </c>
      <c r="V51" s="1198">
        <f t="shared" si="4"/>
        <v>7.353424657534247</v>
      </c>
      <c r="W51" s="1056">
        <f>K51*U51*8/100</f>
        <v>192659.72602739729</v>
      </c>
      <c r="X51" s="1056">
        <f>K51*U51*18/100</f>
        <v>433484.38356164389</v>
      </c>
      <c r="Y51" s="1128">
        <f t="shared" si="5"/>
        <v>866031.94082191796</v>
      </c>
      <c r="Z51" s="1128">
        <f t="shared" si="17"/>
        <v>0</v>
      </c>
      <c r="AA51" s="1056">
        <f t="shared" si="18"/>
        <v>5888630</v>
      </c>
      <c r="AB51" s="1056">
        <f t="shared" si="16"/>
        <v>0</v>
      </c>
      <c r="AC51" s="1056">
        <v>200000</v>
      </c>
      <c r="AD51" s="1056">
        <v>100000</v>
      </c>
      <c r="AE51" s="1056">
        <f t="shared" si="14"/>
        <v>6188630</v>
      </c>
      <c r="AF51" s="1203"/>
    </row>
    <row r="52" spans="1:34" s="1050" customFormat="1">
      <c r="A52" s="1751">
        <v>48</v>
      </c>
      <c r="B52" s="1751" t="s">
        <v>3073</v>
      </c>
      <c r="C52" s="1751" t="s">
        <v>3074</v>
      </c>
      <c r="D52" s="1756">
        <v>5027270</v>
      </c>
      <c r="E52" s="1050">
        <f t="shared" si="3"/>
        <v>5812085.6496889479</v>
      </c>
      <c r="F52" s="1756">
        <f t="shared" si="10"/>
        <v>10839355.649688948</v>
      </c>
      <c r="G52" s="1756">
        <v>5027270</v>
      </c>
      <c r="H52" s="1050">
        <v>5000000</v>
      </c>
      <c r="J52" s="1050">
        <f t="shared" si="1"/>
        <v>5000000</v>
      </c>
      <c r="K52" s="1107">
        <f>700000+350000+350000+700000+200000+500000+300000+300000+600000+1000000</f>
        <v>5000000</v>
      </c>
      <c r="L52" s="1106">
        <v>3000000</v>
      </c>
      <c r="M52" s="1107">
        <f>5000000-3000000</f>
        <v>2000000</v>
      </c>
      <c r="N52" s="1107">
        <f>700000+350000+350000+700000+200000+500000+300000+300000+600000+1000000</f>
        <v>5000000</v>
      </c>
      <c r="O52" s="1050" t="s">
        <v>3194</v>
      </c>
      <c r="R52" s="1108">
        <v>41996</v>
      </c>
      <c r="S52" s="1757">
        <v>43094</v>
      </c>
      <c r="T52" s="1757"/>
      <c r="U52" s="1050">
        <f>($X$1-S52)/365</f>
        <v>0.85479452054794525</v>
      </c>
      <c r="V52" s="1110">
        <f t="shared" si="4"/>
        <v>3.419178082191781</v>
      </c>
      <c r="W52" s="1050">
        <v>0</v>
      </c>
      <c r="X52" s="1108"/>
      <c r="Y52" s="1111">
        <f t="shared" si="5"/>
        <v>343782.62794520549</v>
      </c>
      <c r="Z52" s="1111">
        <f t="shared" si="17"/>
        <v>341917.80821917811</v>
      </c>
      <c r="AA52" s="1050">
        <f t="shared" si="18"/>
        <v>5369187.8082191776</v>
      </c>
      <c r="AB52" s="1050">
        <f t="shared" si="16"/>
        <v>5812085.6496889479</v>
      </c>
      <c r="AC52" s="1050">
        <v>200000</v>
      </c>
      <c r="AD52" s="1050">
        <v>100000</v>
      </c>
      <c r="AE52" s="1050">
        <f t="shared" si="14"/>
        <v>11139355.649688948</v>
      </c>
      <c r="AF52" s="1200"/>
      <c r="AH52" s="1145"/>
    </row>
    <row r="53" spans="1:34" s="1056" customFormat="1" ht="57" customHeight="1">
      <c r="A53" s="1751"/>
      <c r="B53" s="1751"/>
      <c r="C53" s="1751"/>
      <c r="D53" s="1756"/>
      <c r="E53" s="1050">
        <f t="shared" si="3"/>
        <v>5479914.5592809496</v>
      </c>
      <c r="F53" s="1756"/>
      <c r="G53" s="1756"/>
      <c r="H53" s="1050">
        <v>5000000</v>
      </c>
      <c r="R53" s="1108">
        <v>42484</v>
      </c>
      <c r="S53" s="1758">
        <v>43216</v>
      </c>
      <c r="T53" s="1758"/>
      <c r="U53" s="1050">
        <f>($X$1-S53)/365</f>
        <v>0.52054794520547942</v>
      </c>
      <c r="V53" s="1110">
        <f t="shared" si="4"/>
        <v>2.0821917808219177</v>
      </c>
      <c r="W53" s="1050">
        <v>0</v>
      </c>
      <c r="Z53" s="1111">
        <f t="shared" si="17"/>
        <v>208219.17808219176</v>
      </c>
      <c r="AA53" s="1050">
        <f t="shared" si="18"/>
        <v>208219.17808219176</v>
      </c>
      <c r="AB53" s="1050">
        <f t="shared" si="16"/>
        <v>5479914.5592809496</v>
      </c>
      <c r="AC53" s="1050">
        <v>200000</v>
      </c>
      <c r="AD53" s="1050">
        <v>100000</v>
      </c>
      <c r="AE53" s="1050">
        <f t="shared" si="14"/>
        <v>5779914.5592809496</v>
      </c>
      <c r="AF53" s="1203"/>
      <c r="AH53" s="1146"/>
    </row>
    <row r="54" spans="1:34" s="1124" customFormat="1">
      <c r="A54" s="1053">
        <v>49</v>
      </c>
      <c r="B54" s="1053" t="s">
        <v>3075</v>
      </c>
      <c r="C54" s="1053" t="s">
        <v>3076</v>
      </c>
      <c r="D54" s="1053">
        <v>1112985</v>
      </c>
      <c r="E54" s="1053">
        <f t="shared" si="3"/>
        <v>1588130.1473452987</v>
      </c>
      <c r="F54" s="1053">
        <f t="shared" si="10"/>
        <v>2701115.1473452989</v>
      </c>
      <c r="G54" s="1053">
        <v>1112985</v>
      </c>
      <c r="H54" s="1053">
        <f>+K54</f>
        <v>1112985</v>
      </c>
      <c r="I54" s="1053"/>
      <c r="J54" s="1053">
        <f t="shared" ref="J54:J64" si="19">+H54+I54</f>
        <v>1112985</v>
      </c>
      <c r="K54" s="1118">
        <f>20000+280000+812985</f>
        <v>1112985</v>
      </c>
      <c r="L54" s="1118">
        <v>0</v>
      </c>
      <c r="M54" s="1118">
        <f t="shared" si="2"/>
        <v>1112985</v>
      </c>
      <c r="N54" s="1118">
        <f>20000+280000+812985</f>
        <v>1112985</v>
      </c>
      <c r="O54" s="1053" t="s">
        <v>3195</v>
      </c>
      <c r="P54" s="1053"/>
      <c r="Q54" s="1053"/>
      <c r="R54" s="1120">
        <v>41572</v>
      </c>
      <c r="S54" s="1754">
        <f>R54+(365*3)+2</f>
        <v>42669</v>
      </c>
      <c r="T54" s="1754"/>
      <c r="U54" s="1053">
        <f>($X$1-S54)/365</f>
        <v>2.0191780821917806</v>
      </c>
      <c r="V54" s="1122">
        <f t="shared" si="4"/>
        <v>8.0767123287671225</v>
      </c>
      <c r="W54" s="1053">
        <f>$K$54*$U$54*8/100</f>
        <v>179785.19342465751</v>
      </c>
      <c r="X54" s="1053">
        <f>$K$54*$U$54*18/100</f>
        <v>404516.68520547939</v>
      </c>
      <c r="Y54" s="1123">
        <f t="shared" ref="Y54:Y88" si="20">$D54*8/100*$U54</f>
        <v>179785.19342465751</v>
      </c>
      <c r="Z54" s="1123">
        <f t="shared" si="17"/>
        <v>179785.19342465751</v>
      </c>
      <c r="AA54" s="1053">
        <f t="shared" si="18"/>
        <v>1292770.1934246575</v>
      </c>
      <c r="AB54" s="1053">
        <f t="shared" si="16"/>
        <v>1588130.1473452987</v>
      </c>
      <c r="AC54" s="1053">
        <v>200000</v>
      </c>
      <c r="AD54" s="1053">
        <v>100000</v>
      </c>
      <c r="AE54" s="1053">
        <f t="shared" ref="AE54:AE85" si="21">+D54+AB54+AC54+AD54</f>
        <v>3001115.1473452989</v>
      </c>
      <c r="AF54" s="1202"/>
      <c r="AG54" s="1053"/>
    </row>
    <row r="55" spans="1:34" s="1124" customFormat="1" ht="30">
      <c r="A55" s="1053" t="s">
        <v>227</v>
      </c>
      <c r="B55" s="1054" t="s">
        <v>3077</v>
      </c>
      <c r="C55" s="1054" t="s">
        <v>3078</v>
      </c>
      <c r="D55" s="1053">
        <v>2850000</v>
      </c>
      <c r="E55" s="1053">
        <f t="shared" si="3"/>
        <v>3802962.3792846194</v>
      </c>
      <c r="F55" s="1053">
        <f t="shared" si="10"/>
        <v>6652962.3792846194</v>
      </c>
      <c r="G55" s="1053">
        <v>2850000</v>
      </c>
      <c r="H55" s="1053">
        <v>2850000</v>
      </c>
      <c r="I55" s="1053"/>
      <c r="J55" s="1053">
        <f t="shared" si="19"/>
        <v>2850000</v>
      </c>
      <c r="K55" s="1118">
        <f>400000+400000+1500000+550000</f>
        <v>2850000</v>
      </c>
      <c r="L55" s="1118">
        <v>2050000</v>
      </c>
      <c r="M55" s="1118">
        <f t="shared" si="2"/>
        <v>800000</v>
      </c>
      <c r="N55" s="1118">
        <f>400000+400000+1500000+550000</f>
        <v>2850000</v>
      </c>
      <c r="O55" s="1053" t="s">
        <v>3196</v>
      </c>
      <c r="P55" s="1053"/>
      <c r="Q55" s="1053"/>
      <c r="R55" s="1120">
        <v>41711</v>
      </c>
      <c r="S55" s="1754">
        <f>R55+(365*3)+2</f>
        <v>42808</v>
      </c>
      <c r="T55" s="1754"/>
      <c r="U55" s="1053">
        <f>($X$1-S55)/365</f>
        <v>1.6383561643835616</v>
      </c>
      <c r="V55" s="1122">
        <f t="shared" si="4"/>
        <v>6.5534246575342463</v>
      </c>
      <c r="W55" s="1053">
        <f>$K$55*$U$55*8/100</f>
        <v>373545.20547945204</v>
      </c>
      <c r="X55" s="1053">
        <f>$K$55*$U$55*18/100</f>
        <v>840476.71232876705</v>
      </c>
      <c r="Y55" s="1123">
        <f t="shared" si="20"/>
        <v>373545.20547945204</v>
      </c>
      <c r="Z55" s="1123">
        <f t="shared" si="17"/>
        <v>373545.20547945204</v>
      </c>
      <c r="AA55" s="1053">
        <f t="shared" si="18"/>
        <v>3223545.2054794519</v>
      </c>
      <c r="AB55" s="1053">
        <f t="shared" si="16"/>
        <v>3802962.3792846194</v>
      </c>
      <c r="AC55" s="1053">
        <v>200000</v>
      </c>
      <c r="AD55" s="1053">
        <v>100000</v>
      </c>
      <c r="AE55" s="1053">
        <f t="shared" si="21"/>
        <v>6952962.3792846194</v>
      </c>
      <c r="AF55" s="1202"/>
      <c r="AG55" s="1053"/>
    </row>
    <row r="56" spans="1:34" s="1117" customFormat="1" ht="30">
      <c r="A56" s="1052">
        <v>51</v>
      </c>
      <c r="B56" s="1052" t="s">
        <v>3079</v>
      </c>
      <c r="C56" s="1062" t="s">
        <v>3080</v>
      </c>
      <c r="D56" s="1142">
        <v>1545046</v>
      </c>
      <c r="E56" s="1052">
        <f t="shared" si="3"/>
        <v>1673527964132421.2</v>
      </c>
      <c r="F56" s="1052">
        <f t="shared" si="10"/>
        <v>1673527965677467.2</v>
      </c>
      <c r="G56" s="1052">
        <v>1545046</v>
      </c>
      <c r="H56" s="1052">
        <f>+K56</f>
        <v>1350063</v>
      </c>
      <c r="I56" s="1052">
        <f>+W56</f>
        <v>0</v>
      </c>
      <c r="J56" s="1052">
        <f t="shared" si="19"/>
        <v>1350063</v>
      </c>
      <c r="K56" s="1113">
        <f>400000+180006+250028+125006+195006+200017</f>
        <v>1350063</v>
      </c>
      <c r="L56" s="1113">
        <v>0</v>
      </c>
      <c r="M56" s="1113">
        <f t="shared" si="2"/>
        <v>1350063</v>
      </c>
      <c r="N56" s="1113"/>
      <c r="O56" s="1052"/>
      <c r="P56" s="1052"/>
      <c r="Q56" s="1052"/>
      <c r="R56" s="1114"/>
      <c r="S56" s="1752"/>
      <c r="T56" s="1752"/>
      <c r="U56" s="1052"/>
      <c r="V56" s="1115">
        <f t="shared" si="4"/>
        <v>475.68219178082194</v>
      </c>
      <c r="W56" s="1052"/>
      <c r="X56" s="1052"/>
      <c r="Y56" s="1116">
        <f t="shared" si="20"/>
        <v>0</v>
      </c>
      <c r="Z56" s="1116">
        <f t="shared" si="17"/>
        <v>0</v>
      </c>
      <c r="AA56" s="1052">
        <f t="shared" si="18"/>
        <v>1545046</v>
      </c>
      <c r="AB56" s="1052">
        <f t="shared" si="16"/>
        <v>1673527964132421.2</v>
      </c>
      <c r="AC56" s="1052">
        <v>200000</v>
      </c>
      <c r="AD56" s="1052">
        <v>100000</v>
      </c>
      <c r="AE56" s="1052">
        <f t="shared" si="21"/>
        <v>1673527965977467.2</v>
      </c>
      <c r="AF56" s="1201"/>
      <c r="AG56" s="1052"/>
    </row>
    <row r="57" spans="1:34" s="1117" customFormat="1" ht="30">
      <c r="A57" s="1052">
        <v>52</v>
      </c>
      <c r="B57" s="1052" t="s">
        <v>3081</v>
      </c>
      <c r="C57" s="1055" t="s">
        <v>3082</v>
      </c>
      <c r="D57" s="1142">
        <v>200000</v>
      </c>
      <c r="E57" s="1052">
        <f t="shared" si="3"/>
        <v>247918499230394.59</v>
      </c>
      <c r="F57" s="1052">
        <f t="shared" si="10"/>
        <v>247918499430394.59</v>
      </c>
      <c r="G57" s="1052">
        <v>0</v>
      </c>
      <c r="H57" s="1052">
        <f>+K57</f>
        <v>200000</v>
      </c>
      <c r="I57" s="1052"/>
      <c r="J57" s="1052">
        <f t="shared" si="19"/>
        <v>200000</v>
      </c>
      <c r="K57" s="1113">
        <v>200000</v>
      </c>
      <c r="L57" s="1113">
        <v>0</v>
      </c>
      <c r="M57" s="1113">
        <f t="shared" si="2"/>
        <v>200000</v>
      </c>
      <c r="N57" s="1113"/>
      <c r="O57" s="1052"/>
      <c r="P57" s="1052"/>
      <c r="Q57" s="1052"/>
      <c r="R57" s="1114"/>
      <c r="S57" s="1752"/>
      <c r="T57" s="1752"/>
      <c r="U57" s="1052"/>
      <c r="V57" s="1115">
        <f t="shared" si="4"/>
        <v>475.68219178082194</v>
      </c>
      <c r="W57" s="1052"/>
      <c r="X57" s="1052"/>
      <c r="Y57" s="1116">
        <f t="shared" si="20"/>
        <v>0</v>
      </c>
      <c r="Z57" s="1116">
        <f t="shared" si="17"/>
        <v>0</v>
      </c>
      <c r="AA57" s="1052">
        <f t="shared" si="18"/>
        <v>200000</v>
      </c>
      <c r="AB57" s="1052">
        <f t="shared" si="16"/>
        <v>247918499230394.59</v>
      </c>
      <c r="AC57" s="1052">
        <v>200000</v>
      </c>
      <c r="AD57" s="1052">
        <v>100000</v>
      </c>
      <c r="AE57" s="1052">
        <f t="shared" si="21"/>
        <v>247918499730394.59</v>
      </c>
      <c r="AF57" s="1201"/>
      <c r="AG57" s="1052"/>
    </row>
    <row r="58" spans="1:34" s="1112" customFormat="1" ht="30">
      <c r="A58" s="1050">
        <v>53</v>
      </c>
      <c r="B58" s="1050" t="s">
        <v>278</v>
      </c>
      <c r="C58" s="1051" t="s">
        <v>3083</v>
      </c>
      <c r="D58" s="1050">
        <f>555000+1700000</f>
        <v>2255000</v>
      </c>
      <c r="E58" s="1050">
        <f t="shared" si="3"/>
        <v>1239592496151973</v>
      </c>
      <c r="F58" s="1050">
        <f t="shared" si="10"/>
        <v>1239592498406973</v>
      </c>
      <c r="G58" s="1050">
        <v>550000</v>
      </c>
      <c r="H58" s="1050">
        <v>1000000</v>
      </c>
      <c r="I58" s="1050"/>
      <c r="J58" s="1050">
        <f t="shared" si="19"/>
        <v>1000000</v>
      </c>
      <c r="K58" s="1050">
        <v>1000000</v>
      </c>
      <c r="L58" s="1050"/>
      <c r="M58" s="1107">
        <v>1000000</v>
      </c>
      <c r="N58" s="1050"/>
      <c r="O58" s="1050"/>
      <c r="P58" s="1050"/>
      <c r="Q58" s="1050"/>
      <c r="R58" s="1050"/>
      <c r="S58" s="1755"/>
      <c r="T58" s="1755"/>
      <c r="U58" s="1050"/>
      <c r="V58" s="1110">
        <f t="shared" si="4"/>
        <v>475.68219178082194</v>
      </c>
      <c r="W58" s="1050"/>
      <c r="X58" s="1050"/>
      <c r="Y58" s="1111">
        <f t="shared" si="20"/>
        <v>0</v>
      </c>
      <c r="Z58" s="1111">
        <f t="shared" si="17"/>
        <v>0</v>
      </c>
      <c r="AA58" s="1050">
        <f t="shared" si="18"/>
        <v>2255000</v>
      </c>
      <c r="AB58" s="1050">
        <f t="shared" si="16"/>
        <v>1239592496151973</v>
      </c>
      <c r="AC58" s="1050">
        <v>200000</v>
      </c>
      <c r="AD58" s="1050">
        <v>100000</v>
      </c>
      <c r="AE58" s="1050">
        <f t="shared" si="21"/>
        <v>1239592498706973</v>
      </c>
      <c r="AF58" s="1200"/>
      <c r="AG58" s="1050"/>
    </row>
    <row r="59" spans="1:34">
      <c r="A59" s="1056"/>
      <c r="B59" s="1056"/>
      <c r="C59" s="1056"/>
      <c r="D59" s="1056"/>
      <c r="E59" s="1050">
        <f t="shared" si="3"/>
        <v>0</v>
      </c>
      <c r="F59" s="1056">
        <f t="shared" si="10"/>
        <v>0</v>
      </c>
      <c r="G59" s="1056"/>
      <c r="H59" s="1056"/>
      <c r="I59" s="1056"/>
      <c r="J59" s="1056">
        <f t="shared" si="19"/>
        <v>0</v>
      </c>
      <c r="K59" s="1056"/>
      <c r="L59" s="1056"/>
      <c r="M59" s="1126">
        <f t="shared" si="2"/>
        <v>0</v>
      </c>
      <c r="N59" s="1056"/>
      <c r="O59" s="1056"/>
      <c r="P59" s="1056"/>
      <c r="Q59" s="1056"/>
      <c r="R59" s="1056"/>
      <c r="S59" s="1753"/>
      <c r="T59" s="1753"/>
      <c r="U59" s="1056"/>
      <c r="V59" s="1110">
        <f t="shared" si="4"/>
        <v>475.68219178082194</v>
      </c>
      <c r="W59" s="1056"/>
      <c r="X59" s="1056"/>
      <c r="Y59" s="1128">
        <f t="shared" si="20"/>
        <v>0</v>
      </c>
      <c r="Z59" s="1128">
        <f t="shared" si="17"/>
        <v>0</v>
      </c>
      <c r="AA59" s="1056">
        <f t="shared" si="18"/>
        <v>0</v>
      </c>
      <c r="AB59" s="1050">
        <f t="shared" si="16"/>
        <v>0</v>
      </c>
      <c r="AC59" s="1050">
        <v>200000</v>
      </c>
      <c r="AD59" s="1050">
        <v>100000</v>
      </c>
      <c r="AE59" s="1050">
        <f t="shared" si="21"/>
        <v>300000</v>
      </c>
      <c r="AF59" s="1203"/>
    </row>
    <row r="60" spans="1:34" s="1117" customFormat="1">
      <c r="A60" s="1052">
        <v>54</v>
      </c>
      <c r="B60" s="1052" t="s">
        <v>2926</v>
      </c>
      <c r="C60" s="1052" t="s">
        <v>3084</v>
      </c>
      <c r="D60" s="1052">
        <v>300000</v>
      </c>
      <c r="E60" s="1052">
        <f t="shared" si="3"/>
        <v>371877748845591.87</v>
      </c>
      <c r="F60" s="1052">
        <f t="shared" si="10"/>
        <v>371877749145591.87</v>
      </c>
      <c r="G60" s="1052"/>
      <c r="H60" s="1052">
        <f>+K60</f>
        <v>300000</v>
      </c>
      <c r="I60" s="1052">
        <f>+W60</f>
        <v>0</v>
      </c>
      <c r="J60" s="1052">
        <f t="shared" si="19"/>
        <v>300000</v>
      </c>
      <c r="K60" s="1052">
        <v>300000</v>
      </c>
      <c r="L60" s="1052">
        <v>0</v>
      </c>
      <c r="M60" s="1113">
        <f t="shared" si="2"/>
        <v>300000</v>
      </c>
      <c r="N60" s="1052"/>
      <c r="O60" s="1052"/>
      <c r="P60" s="1052"/>
      <c r="Q60" s="1052"/>
      <c r="R60" s="1052"/>
      <c r="S60" s="1752"/>
      <c r="T60" s="1752"/>
      <c r="U60" s="1052"/>
      <c r="V60" s="1115">
        <f t="shared" si="4"/>
        <v>475.68219178082194</v>
      </c>
      <c r="W60" s="1052"/>
      <c r="X60" s="1052"/>
      <c r="Y60" s="1116">
        <f t="shared" si="20"/>
        <v>0</v>
      </c>
      <c r="Z60" s="1116">
        <f t="shared" si="17"/>
        <v>0</v>
      </c>
      <c r="AA60" s="1052">
        <f t="shared" si="18"/>
        <v>300000</v>
      </c>
      <c r="AB60" s="1052">
        <f t="shared" si="16"/>
        <v>371877748845591.87</v>
      </c>
      <c r="AC60" s="1052">
        <v>200000</v>
      </c>
      <c r="AD60" s="1052">
        <v>100000</v>
      </c>
      <c r="AE60" s="1052">
        <f t="shared" si="21"/>
        <v>371877749445591.87</v>
      </c>
      <c r="AF60" s="1201"/>
      <c r="AG60" s="1052"/>
    </row>
    <row r="61" spans="1:34" s="1112" customFormat="1" ht="31.5">
      <c r="A61" s="1050">
        <v>55</v>
      </c>
      <c r="B61" s="1050" t="s">
        <v>3085</v>
      </c>
      <c r="C61" s="1063" t="s">
        <v>2967</v>
      </c>
      <c r="D61" s="1050">
        <v>4550000</v>
      </c>
      <c r="E61" s="1050">
        <f t="shared" si="3"/>
        <v>4303056.6802790808</v>
      </c>
      <c r="F61" s="1050">
        <f t="shared" si="10"/>
        <v>8853056.6802790798</v>
      </c>
      <c r="G61" s="1050">
        <v>2823121</v>
      </c>
      <c r="H61" s="1050">
        <f>K61+Q61</f>
        <v>3989207</v>
      </c>
      <c r="I61" s="1050">
        <f>+W61</f>
        <v>137272.43813698631</v>
      </c>
      <c r="J61" s="1050">
        <f t="shared" si="19"/>
        <v>4126479.4381369865</v>
      </c>
      <c r="K61" s="1050">
        <f>100000+500000+700000</f>
        <v>1300000</v>
      </c>
      <c r="L61" s="1050">
        <v>100000</v>
      </c>
      <c r="M61" s="1107">
        <f t="shared" si="2"/>
        <v>1200000</v>
      </c>
      <c r="N61" s="1050">
        <v>2500087</v>
      </c>
      <c r="O61" s="1050">
        <f>+N61+K61</f>
        <v>3800087</v>
      </c>
      <c r="P61" s="1050"/>
      <c r="Q61" s="1050">
        <v>2689207</v>
      </c>
      <c r="R61" s="1132">
        <v>42152</v>
      </c>
      <c r="S61" s="1755">
        <f>R61+(365*3)+2</f>
        <v>43249</v>
      </c>
      <c r="T61" s="1755"/>
      <c r="U61" s="1050">
        <f>($X$1-S61)/365</f>
        <v>0.43013698630136987</v>
      </c>
      <c r="V61" s="1110">
        <f t="shared" si="4"/>
        <v>1.7205479452054795</v>
      </c>
      <c r="W61" s="1050">
        <f>H61*U61*8/100</f>
        <v>137272.43813698631</v>
      </c>
      <c r="X61" s="1050">
        <f>N61*U61*18/100</f>
        <v>193568.37978082191</v>
      </c>
      <c r="Y61" s="1111">
        <f t="shared" si="20"/>
        <v>156569.86301369863</v>
      </c>
      <c r="Z61" s="1111">
        <f t="shared" si="17"/>
        <v>137272.43813698631</v>
      </c>
      <c r="AA61" s="1050">
        <f t="shared" si="18"/>
        <v>4687272.4381369865</v>
      </c>
      <c r="AB61" s="1050">
        <f t="shared" si="16"/>
        <v>4303056.6802790808</v>
      </c>
      <c r="AC61" s="1050">
        <v>200000</v>
      </c>
      <c r="AD61" s="1050">
        <v>100000</v>
      </c>
      <c r="AE61" s="1050">
        <f t="shared" si="21"/>
        <v>9153056.6802790798</v>
      </c>
      <c r="AF61" s="1200"/>
      <c r="AG61" s="1050"/>
    </row>
    <row r="62" spans="1:34">
      <c r="A62" s="1056">
        <v>56</v>
      </c>
      <c r="B62" s="1056" t="s">
        <v>3086</v>
      </c>
      <c r="C62" s="1056" t="s">
        <v>3087</v>
      </c>
      <c r="D62" s="1056">
        <v>6300000</v>
      </c>
      <c r="E62" s="1056">
        <f t="shared" si="3"/>
        <v>0</v>
      </c>
      <c r="F62" s="1056">
        <f t="shared" si="10"/>
        <v>6300000</v>
      </c>
      <c r="G62" s="1056">
        <f>D62</f>
        <v>6300000</v>
      </c>
      <c r="H62" s="1056"/>
      <c r="I62" s="1056"/>
      <c r="J62" s="1056">
        <f t="shared" si="19"/>
        <v>0</v>
      </c>
      <c r="K62" s="1056">
        <f>600000+600000+1000000+500000</f>
        <v>2700000</v>
      </c>
      <c r="L62" s="1056">
        <v>0</v>
      </c>
      <c r="M62" s="1126">
        <f t="shared" si="2"/>
        <v>2700000</v>
      </c>
      <c r="N62" s="1056">
        <v>2700000</v>
      </c>
      <c r="O62" s="1056"/>
      <c r="P62" s="1056"/>
      <c r="Q62" s="1056"/>
      <c r="R62" s="1134">
        <v>41673</v>
      </c>
      <c r="S62" s="1753">
        <f>R62+(365*3)+2</f>
        <v>42770</v>
      </c>
      <c r="T62" s="1753"/>
      <c r="U62" s="1056">
        <f>($X$1-S62)/365</f>
        <v>1.7424657534246575</v>
      </c>
      <c r="V62" s="1198">
        <f t="shared" si="4"/>
        <v>6.9698630136986299</v>
      </c>
      <c r="W62" s="1056">
        <f>N62*U62*8/100</f>
        <v>376372.60273972602</v>
      </c>
      <c r="X62" s="1056">
        <f>N62*U62*18/100</f>
        <v>846838.35616438359</v>
      </c>
      <c r="Y62" s="1128">
        <f t="shared" si="20"/>
        <v>878202.73972602736</v>
      </c>
      <c r="Z62" s="1128">
        <f t="shared" si="17"/>
        <v>0</v>
      </c>
      <c r="AA62" s="1056">
        <f t="shared" si="18"/>
        <v>6300000</v>
      </c>
      <c r="AB62" s="1056">
        <f t="shared" si="16"/>
        <v>0</v>
      </c>
      <c r="AC62" s="1056">
        <v>200000</v>
      </c>
      <c r="AD62" s="1056">
        <v>100000</v>
      </c>
      <c r="AE62" s="1056">
        <f t="shared" si="21"/>
        <v>6600000</v>
      </c>
      <c r="AF62" s="1203"/>
    </row>
    <row r="63" spans="1:34" s="1124" customFormat="1">
      <c r="A63" s="1053">
        <v>57</v>
      </c>
      <c r="B63" s="1064" t="s">
        <v>3088</v>
      </c>
      <c r="C63" s="1053" t="s">
        <v>3089</v>
      </c>
      <c r="D63" s="1053">
        <v>6618619</v>
      </c>
      <c r="E63" s="1053">
        <f t="shared" si="3"/>
        <v>7370287.9074494336</v>
      </c>
      <c r="F63" s="1053">
        <f t="shared" si="10"/>
        <v>13988906.907449434</v>
      </c>
      <c r="G63" s="1053">
        <f>D63</f>
        <v>6618619</v>
      </c>
      <c r="H63" s="1053">
        <v>6618619</v>
      </c>
      <c r="I63" s="1053">
        <f>+W63</f>
        <v>323496.33687671239</v>
      </c>
      <c r="J63" s="1053">
        <f t="shared" si="19"/>
        <v>6942115.3368767127</v>
      </c>
      <c r="K63" s="1053">
        <f>1100+100000+650000+50000+300000+200000+330000+120000+4867519</f>
        <v>6618619</v>
      </c>
      <c r="L63" s="1053">
        <f>120000+300000+200000+50000+1100</f>
        <v>671100</v>
      </c>
      <c r="M63" s="1118">
        <f t="shared" si="2"/>
        <v>5947519</v>
      </c>
      <c r="N63" s="1053">
        <v>1771100</v>
      </c>
      <c r="O63" s="1053"/>
      <c r="P63" s="1053"/>
      <c r="Q63" s="1053"/>
      <c r="R63" s="1119">
        <v>42086</v>
      </c>
      <c r="S63" s="1754">
        <f>R63+(365*3)+2</f>
        <v>43183</v>
      </c>
      <c r="T63" s="1754"/>
      <c r="U63" s="1053">
        <f>($X$1-S63)/365</f>
        <v>0.61095890410958908</v>
      </c>
      <c r="V63" s="1122">
        <f t="shared" si="4"/>
        <v>2.4438356164383563</v>
      </c>
      <c r="W63" s="1053">
        <f>H63*U63*8/100</f>
        <v>323496.33687671239</v>
      </c>
      <c r="X63" s="1053">
        <f>N63*U63*18/100</f>
        <v>194772.47671232876</v>
      </c>
      <c r="Y63" s="1123">
        <f t="shared" si="20"/>
        <v>323496.33687671239</v>
      </c>
      <c r="Z63" s="1123">
        <f t="shared" si="17"/>
        <v>323496.33687671239</v>
      </c>
      <c r="AA63" s="1053">
        <f t="shared" si="18"/>
        <v>6942115.3368767127</v>
      </c>
      <c r="AB63" s="1053">
        <f t="shared" si="16"/>
        <v>7370287.9074494336</v>
      </c>
      <c r="AC63" s="1053">
        <v>200000</v>
      </c>
      <c r="AD63" s="1053">
        <v>100000</v>
      </c>
      <c r="AE63" s="1053">
        <f t="shared" si="21"/>
        <v>14288906.907449434</v>
      </c>
      <c r="AF63" s="1202"/>
      <c r="AG63" s="1053"/>
    </row>
    <row r="64" spans="1:34" s="1112" customFormat="1" ht="30">
      <c r="A64" s="1050">
        <v>58</v>
      </c>
      <c r="B64" s="1050" t="s">
        <v>2927</v>
      </c>
      <c r="C64" s="1051" t="s">
        <v>3090</v>
      </c>
      <c r="D64" s="1050">
        <v>4564305</v>
      </c>
      <c r="E64" s="1050">
        <f t="shared" si="3"/>
        <v>5526548361551614</v>
      </c>
      <c r="F64" s="1050">
        <f t="shared" si="10"/>
        <v>5526548366115919</v>
      </c>
      <c r="G64" s="1050">
        <f>D64</f>
        <v>4564305</v>
      </c>
      <c r="H64" s="1050">
        <v>4458359</v>
      </c>
      <c r="I64" s="1050">
        <f>+U64</f>
        <v>0</v>
      </c>
      <c r="J64" s="1050">
        <f t="shared" si="19"/>
        <v>4458359</v>
      </c>
      <c r="K64" s="1050">
        <f>1550000</f>
        <v>1550000</v>
      </c>
      <c r="L64" s="1050">
        <v>50000</v>
      </c>
      <c r="M64" s="1107">
        <f t="shared" si="2"/>
        <v>1500000</v>
      </c>
      <c r="N64" s="1050"/>
      <c r="O64" s="1050"/>
      <c r="P64" s="1050"/>
      <c r="Q64" s="1050">
        <v>2908359</v>
      </c>
      <c r="R64" s="1050"/>
      <c r="S64" s="1755"/>
      <c r="T64" s="1755"/>
      <c r="U64" s="1050"/>
      <c r="V64" s="1110">
        <f t="shared" si="4"/>
        <v>475.68219178082194</v>
      </c>
      <c r="W64" s="1050"/>
      <c r="X64" s="1050"/>
      <c r="Y64" s="1111">
        <f t="shared" si="20"/>
        <v>0</v>
      </c>
      <c r="Z64" s="1111">
        <f t="shared" si="17"/>
        <v>0</v>
      </c>
      <c r="AA64" s="1050">
        <f t="shared" si="18"/>
        <v>4564305</v>
      </c>
      <c r="AB64" s="1050">
        <f t="shared" si="16"/>
        <v>5526548361551614</v>
      </c>
      <c r="AC64" s="1050">
        <v>200000</v>
      </c>
      <c r="AD64" s="1050">
        <v>100000</v>
      </c>
      <c r="AE64" s="1050">
        <f t="shared" si="21"/>
        <v>5526548366415919</v>
      </c>
      <c r="AF64" s="1200"/>
      <c r="AG64" s="1050"/>
    </row>
    <row r="65" spans="1:33" s="1117" customFormat="1">
      <c r="A65" s="1052">
        <v>59</v>
      </c>
      <c r="B65" s="1052" t="s">
        <v>3091</v>
      </c>
      <c r="C65" s="1052" t="s">
        <v>3092</v>
      </c>
      <c r="D65" s="1052">
        <v>840000</v>
      </c>
      <c r="E65" s="1052">
        <f t="shared" si="3"/>
        <v>0</v>
      </c>
      <c r="F65" s="1052">
        <f t="shared" si="10"/>
        <v>840000</v>
      </c>
      <c r="G65" s="1052">
        <v>540000</v>
      </c>
      <c r="H65" s="1052"/>
      <c r="I65" s="1052" t="s">
        <v>227</v>
      </c>
      <c r="J65" s="1052"/>
      <c r="K65" s="1052">
        <f>240000+150000+150000</f>
        <v>540000</v>
      </c>
      <c r="L65" s="1052">
        <f>240000+150000</f>
        <v>390000</v>
      </c>
      <c r="M65" s="1113">
        <f t="shared" si="2"/>
        <v>150000</v>
      </c>
      <c r="N65" s="1052">
        <v>540000</v>
      </c>
      <c r="O65" s="1052"/>
      <c r="P65" s="1052"/>
      <c r="Q65" s="1052"/>
      <c r="R65" s="1052"/>
      <c r="S65" s="1752"/>
      <c r="T65" s="1752"/>
      <c r="U65" s="1052"/>
      <c r="V65" s="1115">
        <f t="shared" si="4"/>
        <v>475.68219178082194</v>
      </c>
      <c r="W65" s="1052"/>
      <c r="X65" s="1052"/>
      <c r="Y65" s="1116">
        <f t="shared" si="20"/>
        <v>0</v>
      </c>
      <c r="Z65" s="1116">
        <f t="shared" si="17"/>
        <v>0</v>
      </c>
      <c r="AA65" s="1052">
        <f t="shared" si="18"/>
        <v>840000</v>
      </c>
      <c r="AB65" s="1052">
        <f t="shared" si="16"/>
        <v>0</v>
      </c>
      <c r="AC65" s="1052">
        <v>200000</v>
      </c>
      <c r="AD65" s="1052">
        <v>100000</v>
      </c>
      <c r="AE65" s="1052">
        <f t="shared" si="21"/>
        <v>1140000</v>
      </c>
      <c r="AF65" s="1201"/>
      <c r="AG65" s="1052"/>
    </row>
    <row r="66" spans="1:33" s="1112" customFormat="1" ht="30">
      <c r="A66" s="1050">
        <v>60</v>
      </c>
      <c r="B66" s="1050" t="s">
        <v>3093</v>
      </c>
      <c r="C66" s="1051" t="s">
        <v>3094</v>
      </c>
      <c r="D66" s="1050">
        <v>1821317</v>
      </c>
      <c r="E66" s="1050">
        <f t="shared" si="3"/>
        <v>824756.71839111566</v>
      </c>
      <c r="F66" s="1050">
        <f t="shared" si="10"/>
        <v>2646073.7183911158</v>
      </c>
      <c r="G66" s="1050">
        <f>D66</f>
        <v>1821317</v>
      </c>
      <c r="H66" s="1050">
        <v>700000</v>
      </c>
      <c r="I66" s="1050">
        <v>0</v>
      </c>
      <c r="J66" s="1050">
        <v>0</v>
      </c>
      <c r="K66" s="1050">
        <f>1121370+700000</f>
        <v>1821370</v>
      </c>
      <c r="L66" s="1050">
        <v>700000</v>
      </c>
      <c r="M66" s="1107">
        <f t="shared" si="2"/>
        <v>1121370</v>
      </c>
      <c r="N66" s="1050">
        <v>2921370</v>
      </c>
      <c r="O66" s="1050"/>
      <c r="P66" s="1050"/>
      <c r="Q66" s="1050"/>
      <c r="R66" s="1132">
        <v>41969</v>
      </c>
      <c r="S66" s="1755">
        <f>R66+(365*3)+2</f>
        <v>43066</v>
      </c>
      <c r="T66" s="1755"/>
      <c r="U66" s="1050">
        <f>($X$1-S66)/365</f>
        <v>0.93150684931506844</v>
      </c>
      <c r="V66" s="1110">
        <f t="shared" si="4"/>
        <v>3.7260273972602738</v>
      </c>
      <c r="W66" s="1050">
        <f>H66*U66*8/100</f>
        <v>52164.383561643837</v>
      </c>
      <c r="X66" s="1050">
        <f>N66*U66*18/100</f>
        <v>489829.70958904101</v>
      </c>
      <c r="Y66" s="1111">
        <f t="shared" si="20"/>
        <v>135725.54082191779</v>
      </c>
      <c r="Z66" s="1111">
        <f t="shared" si="17"/>
        <v>52164.38356164383</v>
      </c>
      <c r="AA66" s="1050">
        <f t="shared" si="18"/>
        <v>1873481.3835616438</v>
      </c>
      <c r="AB66" s="1050">
        <f t="shared" si="16"/>
        <v>824756.71839111566</v>
      </c>
      <c r="AC66" s="1050">
        <v>200000</v>
      </c>
      <c r="AD66" s="1050">
        <v>100000</v>
      </c>
      <c r="AE66" s="1050">
        <f t="shared" si="21"/>
        <v>2946073.7183911158</v>
      </c>
      <c r="AF66" s="1200"/>
      <c r="AG66" s="1050"/>
    </row>
    <row r="67" spans="1:33" s="1112" customFormat="1">
      <c r="A67" s="1050">
        <v>61</v>
      </c>
      <c r="B67" s="1050" t="s">
        <v>3095</v>
      </c>
      <c r="C67" s="1050" t="s">
        <v>3096</v>
      </c>
      <c r="D67" s="1050">
        <v>860034</v>
      </c>
      <c r="E67" s="1050">
        <f t="shared" si="3"/>
        <v>1045722.0770530661</v>
      </c>
      <c r="F67" s="1050">
        <f t="shared" si="10"/>
        <v>1905756.0770530661</v>
      </c>
      <c r="G67" s="1050">
        <v>781100</v>
      </c>
      <c r="H67" s="1050">
        <v>775034</v>
      </c>
      <c r="I67" s="1050">
        <v>0</v>
      </c>
      <c r="J67" s="1050">
        <f t="shared" ref="J67:J90" si="22">+H67+I67</f>
        <v>775034</v>
      </c>
      <c r="K67" s="1050">
        <f>78934+34700+200000+150000+150000+50000+35000+30000+46400</f>
        <v>775034</v>
      </c>
      <c r="L67" s="1050">
        <f>78934+46400</f>
        <v>125334</v>
      </c>
      <c r="M67" s="1107">
        <f t="shared" si="2"/>
        <v>649700</v>
      </c>
      <c r="N67" s="1050"/>
      <c r="O67" s="1050"/>
      <c r="P67" s="1050">
        <f>M67-O67</f>
        <v>649700</v>
      </c>
      <c r="Q67" s="1050"/>
      <c r="R67" s="1132">
        <v>41688</v>
      </c>
      <c r="S67" s="1755">
        <f>R67+(365*3)+2</f>
        <v>42785</v>
      </c>
      <c r="T67" s="1755"/>
      <c r="U67" s="1050">
        <f>($X$1-S67)/365</f>
        <v>1.7013698630136986</v>
      </c>
      <c r="V67" s="1110">
        <f t="shared" si="4"/>
        <v>6.8054794520547945</v>
      </c>
      <c r="W67" s="1050">
        <f>H67*U67*8/100</f>
        <v>105489.55923287671</v>
      </c>
      <c r="X67" s="1050">
        <f>K67*U67*18/100</f>
        <v>237351.50827397261</v>
      </c>
      <c r="Y67" s="1111">
        <f t="shared" si="20"/>
        <v>117058.87430136987</v>
      </c>
      <c r="Z67" s="1111">
        <f t="shared" si="17"/>
        <v>105489.55923287671</v>
      </c>
      <c r="AA67" s="1050">
        <f t="shared" si="18"/>
        <v>965523.55923287675</v>
      </c>
      <c r="AB67" s="1050">
        <f t="shared" ref="AB67:AB87" si="23">+H67*(1+18%/4)^V67</f>
        <v>1045722.0770530661</v>
      </c>
      <c r="AC67" s="1050">
        <v>200000</v>
      </c>
      <c r="AD67" s="1050">
        <v>100000</v>
      </c>
      <c r="AE67" s="1050">
        <f t="shared" si="21"/>
        <v>2205756.0770530663</v>
      </c>
      <c r="AF67" s="1200"/>
      <c r="AG67" s="1050"/>
    </row>
    <row r="68" spans="1:33" s="1124" customFormat="1">
      <c r="A68" s="1053">
        <v>62</v>
      </c>
      <c r="B68" s="1053" t="s">
        <v>3097</v>
      </c>
      <c r="C68" s="1054" t="s">
        <v>3098</v>
      </c>
      <c r="D68" s="1053">
        <v>1451947</v>
      </c>
      <c r="E68" s="1053">
        <f t="shared" si="3"/>
        <v>2163724.5162684908</v>
      </c>
      <c r="F68" s="1053">
        <f t="shared" si="10"/>
        <v>3615671.5162684908</v>
      </c>
      <c r="G68" s="1053">
        <f>D68</f>
        <v>1451947</v>
      </c>
      <c r="H68" s="1053">
        <f>+M68+L68</f>
        <v>1451947</v>
      </c>
      <c r="I68" s="1053">
        <f>+W68</f>
        <v>281637.93863013695</v>
      </c>
      <c r="J68" s="1053">
        <f t="shared" si="22"/>
        <v>1733584.9386301369</v>
      </c>
      <c r="K68" s="1053">
        <f>250000+486416+399531+266000+50000</f>
        <v>1451947</v>
      </c>
      <c r="L68" s="1053">
        <v>50000</v>
      </c>
      <c r="M68" s="1118">
        <f t="shared" si="2"/>
        <v>1401947</v>
      </c>
      <c r="N68" s="1053"/>
      <c r="O68" s="1053"/>
      <c r="P68" s="1053"/>
      <c r="Q68" s="1053"/>
      <c r="R68" s="1119">
        <v>41424</v>
      </c>
      <c r="S68" s="1754">
        <f>R68+(365*3)+2</f>
        <v>42521</v>
      </c>
      <c r="T68" s="1754"/>
      <c r="U68" s="1053">
        <f>($X$1-S68)/365</f>
        <v>2.4246575342465753</v>
      </c>
      <c r="V68" s="1122">
        <f t="shared" si="4"/>
        <v>9.6986301369863011</v>
      </c>
      <c r="W68" s="1053">
        <f>H68*U68*8/100</f>
        <v>281637.93863013695</v>
      </c>
      <c r="X68" s="1053">
        <f>K68*U68*18/100</f>
        <v>633685.36191780819</v>
      </c>
      <c r="Y68" s="1123">
        <f t="shared" si="20"/>
        <v>281637.93863013695</v>
      </c>
      <c r="Z68" s="1123">
        <f t="shared" si="17"/>
        <v>281637.93863013695</v>
      </c>
      <c r="AA68" s="1053">
        <f t="shared" si="18"/>
        <v>1733584.9386301369</v>
      </c>
      <c r="AB68" s="1053">
        <v>2163724.5162684908</v>
      </c>
      <c r="AC68" s="1053">
        <v>200000</v>
      </c>
      <c r="AD68" s="1053">
        <v>100000</v>
      </c>
      <c r="AE68" s="1053">
        <f t="shared" si="21"/>
        <v>3915671.5162684908</v>
      </c>
      <c r="AF68" s="1202"/>
      <c r="AG68" s="1053"/>
    </row>
    <row r="69" spans="1:33" s="1117" customFormat="1">
      <c r="A69" s="1052">
        <v>63</v>
      </c>
      <c r="B69" s="1052" t="s">
        <v>3099</v>
      </c>
      <c r="C69" s="1052" t="s">
        <v>3100</v>
      </c>
      <c r="D69" s="1052">
        <v>2785768</v>
      </c>
      <c r="E69" s="1052">
        <f t="shared" si="3"/>
        <v>0</v>
      </c>
      <c r="F69" s="1052">
        <f t="shared" si="10"/>
        <v>2785768</v>
      </c>
      <c r="G69" s="1052">
        <f>D69</f>
        <v>2785768</v>
      </c>
      <c r="H69" s="1052"/>
      <c r="I69" s="1052"/>
      <c r="J69" s="1052">
        <f t="shared" si="22"/>
        <v>0</v>
      </c>
      <c r="K69" s="1052"/>
      <c r="L69" s="1052"/>
      <c r="M69" s="1113">
        <f t="shared" si="2"/>
        <v>0</v>
      </c>
      <c r="N69" s="1052"/>
      <c r="O69" s="1052"/>
      <c r="P69" s="1052"/>
      <c r="Q69" s="1052"/>
      <c r="R69" s="1052"/>
      <c r="S69" s="1752"/>
      <c r="T69" s="1752"/>
      <c r="U69" s="1052"/>
      <c r="V69" s="1115">
        <f t="shared" si="4"/>
        <v>475.68219178082194</v>
      </c>
      <c r="W69" s="1052"/>
      <c r="X69" s="1052"/>
      <c r="Y69" s="1116">
        <f t="shared" si="20"/>
        <v>0</v>
      </c>
      <c r="Z69" s="1116">
        <f t="shared" si="17"/>
        <v>0</v>
      </c>
      <c r="AA69" s="1052">
        <f t="shared" si="18"/>
        <v>2785768</v>
      </c>
      <c r="AB69" s="1052">
        <f t="shared" si="23"/>
        <v>0</v>
      </c>
      <c r="AC69" s="1052">
        <v>200000</v>
      </c>
      <c r="AD69" s="1052">
        <v>100000</v>
      </c>
      <c r="AE69" s="1052">
        <f t="shared" si="21"/>
        <v>3085768</v>
      </c>
      <c r="AF69" s="1201"/>
      <c r="AG69" s="1052"/>
    </row>
    <row r="70" spans="1:33" s="1117" customFormat="1">
      <c r="A70" s="1052">
        <v>64</v>
      </c>
      <c r="B70" s="1052" t="s">
        <v>2928</v>
      </c>
      <c r="C70" s="1052" t="s">
        <v>3101</v>
      </c>
      <c r="D70" s="1052">
        <v>1575425</v>
      </c>
      <c r="E70" s="1052">
        <f t="shared" si="3"/>
        <v>0</v>
      </c>
      <c r="F70" s="1052">
        <f t="shared" si="10"/>
        <v>1575425</v>
      </c>
      <c r="G70" s="1052"/>
      <c r="H70" s="1052"/>
      <c r="I70" s="1052"/>
      <c r="J70" s="1052">
        <f t="shared" si="22"/>
        <v>0</v>
      </c>
      <c r="K70" s="1052">
        <f>200000+475000</f>
        <v>675000</v>
      </c>
      <c r="L70" s="1052"/>
      <c r="M70" s="1113">
        <f t="shared" ref="M70:M85" si="24">K70-L70</f>
        <v>675000</v>
      </c>
      <c r="N70" s="1052"/>
      <c r="O70" s="1052"/>
      <c r="P70" s="1052"/>
      <c r="Q70" s="1052"/>
      <c r="R70" s="1052"/>
      <c r="S70" s="1752"/>
      <c r="T70" s="1752"/>
      <c r="U70" s="1052"/>
      <c r="V70" s="1115">
        <f t="shared" si="4"/>
        <v>475.68219178082194</v>
      </c>
      <c r="W70" s="1052"/>
      <c r="X70" s="1052"/>
      <c r="Y70" s="1116">
        <f t="shared" si="20"/>
        <v>0</v>
      </c>
      <c r="Z70" s="1116">
        <f t="shared" ref="Z70:Z88" si="25">$H70*8/100*$U70</f>
        <v>0</v>
      </c>
      <c r="AA70" s="1052">
        <f t="shared" ref="AA70:AA88" si="26">+D70+Z70</f>
        <v>1575425</v>
      </c>
      <c r="AB70" s="1052">
        <f t="shared" si="23"/>
        <v>0</v>
      </c>
      <c r="AC70" s="1052">
        <v>200000</v>
      </c>
      <c r="AD70" s="1052">
        <v>100000</v>
      </c>
      <c r="AE70" s="1052">
        <f t="shared" si="21"/>
        <v>1875425</v>
      </c>
      <c r="AF70" s="1201"/>
      <c r="AG70" s="1052"/>
    </row>
    <row r="71" spans="1:33">
      <c r="A71" s="1050">
        <v>65</v>
      </c>
      <c r="B71" s="1050" t="s">
        <v>2929</v>
      </c>
      <c r="C71" s="1050" t="s">
        <v>2968</v>
      </c>
      <c r="D71" s="1050">
        <v>1357577</v>
      </c>
      <c r="E71" s="1050">
        <f t="shared" ref="E71:E94" si="27">+AB71</f>
        <v>1600772.3873259057</v>
      </c>
      <c r="F71" s="1056">
        <f t="shared" si="10"/>
        <v>2958349.3873259057</v>
      </c>
      <c r="G71" s="1056">
        <f>D71</f>
        <v>1357577</v>
      </c>
      <c r="H71" s="1056">
        <f>+K71</f>
        <v>1157577</v>
      </c>
      <c r="I71" s="1056"/>
      <c r="J71" s="1056">
        <f t="shared" si="22"/>
        <v>1157577</v>
      </c>
      <c r="K71" s="1056">
        <f>200000+200000+300000+155437+202140+100000</f>
        <v>1157577</v>
      </c>
      <c r="L71" s="1056">
        <v>0</v>
      </c>
      <c r="M71" s="1126">
        <f t="shared" si="24"/>
        <v>1157577</v>
      </c>
      <c r="N71" s="1056"/>
      <c r="O71" s="1056"/>
      <c r="P71" s="1056"/>
      <c r="Q71" s="1056"/>
      <c r="R71" s="1134">
        <v>41637</v>
      </c>
      <c r="S71" s="1753">
        <f>R71+(365*3)+2</f>
        <v>42734</v>
      </c>
      <c r="T71" s="1753"/>
      <c r="U71" s="1056">
        <f>($X$1-S71)/365</f>
        <v>1.8410958904109589</v>
      </c>
      <c r="V71" s="1110">
        <f t="shared" ref="V71:V97" si="28">($X$1-S71)/365*4</f>
        <v>7.3643835616438356</v>
      </c>
      <c r="W71" s="1056">
        <f>K71*U71*8/100</f>
        <v>170496.82060273972</v>
      </c>
      <c r="X71" s="1056">
        <f>K71*U71*18/100</f>
        <v>383617.84635616437</v>
      </c>
      <c r="Y71" s="1128">
        <f t="shared" si="20"/>
        <v>199954.35484931507</v>
      </c>
      <c r="Z71" s="1128">
        <f t="shared" si="25"/>
        <v>170496.82060273972</v>
      </c>
      <c r="AA71" s="1056">
        <f t="shared" si="26"/>
        <v>1528073.8206027397</v>
      </c>
      <c r="AB71" s="1050">
        <f t="shared" si="23"/>
        <v>1600772.3873259057</v>
      </c>
      <c r="AC71" s="1050">
        <v>200000</v>
      </c>
      <c r="AD71" s="1050">
        <v>100000</v>
      </c>
      <c r="AE71" s="1050">
        <f t="shared" si="21"/>
        <v>3258349.3873259057</v>
      </c>
      <c r="AF71" s="1203"/>
    </row>
    <row r="72" spans="1:33" s="1117" customFormat="1">
      <c r="A72" s="1052">
        <v>66</v>
      </c>
      <c r="B72" s="1052" t="s">
        <v>2930</v>
      </c>
      <c r="C72" s="1052" t="s">
        <v>2969</v>
      </c>
      <c r="D72" s="1052">
        <v>1828297</v>
      </c>
      <c r="E72" s="1052">
        <f t="shared" si="27"/>
        <v>0</v>
      </c>
      <c r="F72" s="1052">
        <f t="shared" si="10"/>
        <v>1828297</v>
      </c>
      <c r="G72" s="1052">
        <v>1082941</v>
      </c>
      <c r="H72" s="1052"/>
      <c r="I72" s="1052"/>
      <c r="J72" s="1052">
        <f t="shared" si="22"/>
        <v>0</v>
      </c>
      <c r="K72" s="1052">
        <f>300000+421000</f>
        <v>721000</v>
      </c>
      <c r="L72" s="1052">
        <f>300000+421000</f>
        <v>721000</v>
      </c>
      <c r="M72" s="1113">
        <f t="shared" si="24"/>
        <v>0</v>
      </c>
      <c r="N72" s="1052"/>
      <c r="O72" s="1052"/>
      <c r="P72" s="1052"/>
      <c r="Q72" s="1052"/>
      <c r="R72" s="1052"/>
      <c r="S72" s="1752"/>
      <c r="T72" s="1752"/>
      <c r="U72" s="1052"/>
      <c r="V72" s="1115">
        <f t="shared" si="28"/>
        <v>475.68219178082194</v>
      </c>
      <c r="W72" s="1052"/>
      <c r="X72" s="1052"/>
      <c r="Y72" s="1116">
        <f t="shared" si="20"/>
        <v>0</v>
      </c>
      <c r="Z72" s="1116">
        <f t="shared" si="25"/>
        <v>0</v>
      </c>
      <c r="AA72" s="1052">
        <f t="shared" si="26"/>
        <v>1828297</v>
      </c>
      <c r="AB72" s="1052">
        <f t="shared" si="23"/>
        <v>0</v>
      </c>
      <c r="AC72" s="1052">
        <v>200000</v>
      </c>
      <c r="AD72" s="1052">
        <v>100000</v>
      </c>
      <c r="AE72" s="1052">
        <f t="shared" si="21"/>
        <v>2128297</v>
      </c>
      <c r="AF72" s="1201"/>
      <c r="AG72" s="1052"/>
    </row>
    <row r="73" spans="1:33">
      <c r="A73" s="1050">
        <v>67</v>
      </c>
      <c r="B73" s="1050" t="s">
        <v>3102</v>
      </c>
      <c r="C73" s="1050" t="s">
        <v>2970</v>
      </c>
      <c r="D73" s="1050">
        <v>4047700</v>
      </c>
      <c r="E73" s="1050">
        <f t="shared" si="27"/>
        <v>4297451.6137302313</v>
      </c>
      <c r="F73" s="1056">
        <f t="shared" si="10"/>
        <v>8345151.6137302313</v>
      </c>
      <c r="G73" s="1056">
        <v>2192120</v>
      </c>
      <c r="H73" s="1056">
        <f>+K73</f>
        <v>2867120</v>
      </c>
      <c r="I73" s="1056"/>
      <c r="J73" s="1056">
        <f t="shared" si="22"/>
        <v>2867120</v>
      </c>
      <c r="K73" s="1056">
        <f>675000+742120+950000+500000</f>
        <v>2867120</v>
      </c>
      <c r="L73" s="1056">
        <f>675000+742120+950000+500000</f>
        <v>2867120</v>
      </c>
      <c r="M73" s="1126">
        <f t="shared" si="24"/>
        <v>0</v>
      </c>
      <c r="N73" s="1056"/>
      <c r="O73" s="1056"/>
      <c r="P73" s="1056"/>
      <c r="Q73" s="1056"/>
      <c r="R73" s="1134">
        <v>41470</v>
      </c>
      <c r="S73" s="1753">
        <f>R73+(365*3)+2</f>
        <v>42567</v>
      </c>
      <c r="T73" s="1753"/>
      <c r="U73" s="1056">
        <f>($X$1-S73)/365</f>
        <v>2.2986301369863016</v>
      </c>
      <c r="V73" s="1110">
        <f t="shared" si="28"/>
        <v>9.1945205479452063</v>
      </c>
      <c r="W73" s="1056">
        <f>K73*U73*8/100</f>
        <v>527235.87506849319</v>
      </c>
      <c r="X73" s="1056">
        <f>K73*U73*18/100</f>
        <v>1186280.7189041097</v>
      </c>
      <c r="Y73" s="1128">
        <f t="shared" si="20"/>
        <v>744333.2164383562</v>
      </c>
      <c r="Z73" s="1128">
        <f t="shared" si="25"/>
        <v>527235.87506849319</v>
      </c>
      <c r="AA73" s="1056">
        <f t="shared" si="26"/>
        <v>4574935.8750684932</v>
      </c>
      <c r="AB73" s="1050">
        <f t="shared" si="23"/>
        <v>4297451.6137302313</v>
      </c>
      <c r="AC73" s="1050">
        <v>200000</v>
      </c>
      <c r="AD73" s="1050">
        <v>100000</v>
      </c>
      <c r="AE73" s="1050">
        <f t="shared" si="21"/>
        <v>8645151.6137302313</v>
      </c>
      <c r="AF73" s="1203"/>
    </row>
    <row r="74" spans="1:33" s="1117" customFormat="1">
      <c r="A74" s="1052">
        <v>68</v>
      </c>
      <c r="B74" s="1052" t="s">
        <v>2931</v>
      </c>
      <c r="C74" s="1052" t="s">
        <v>2971</v>
      </c>
      <c r="D74" s="1052">
        <v>1954090</v>
      </c>
      <c r="E74" s="1052">
        <f t="shared" si="27"/>
        <v>371877748845591.87</v>
      </c>
      <c r="F74" s="1052">
        <f t="shared" si="10"/>
        <v>371877750799681.87</v>
      </c>
      <c r="G74" s="1052">
        <v>1079090</v>
      </c>
      <c r="H74" s="1052">
        <f>+K74</f>
        <v>300000</v>
      </c>
      <c r="I74" s="1052">
        <f>+W74</f>
        <v>0</v>
      </c>
      <c r="J74" s="1052">
        <f t="shared" si="22"/>
        <v>300000</v>
      </c>
      <c r="K74" s="1052">
        <f>300000</f>
        <v>300000</v>
      </c>
      <c r="L74" s="1052">
        <v>300000</v>
      </c>
      <c r="M74" s="1113">
        <f t="shared" si="24"/>
        <v>0</v>
      </c>
      <c r="N74" s="1052"/>
      <c r="O74" s="1052"/>
      <c r="P74" s="1052"/>
      <c r="Q74" s="1052"/>
      <c r="R74" s="1052"/>
      <c r="S74" s="1752"/>
      <c r="T74" s="1752"/>
      <c r="U74" s="1052"/>
      <c r="V74" s="1115">
        <f t="shared" si="28"/>
        <v>475.68219178082194</v>
      </c>
      <c r="W74" s="1052"/>
      <c r="X74" s="1052"/>
      <c r="Y74" s="1116">
        <f t="shared" si="20"/>
        <v>0</v>
      </c>
      <c r="Z74" s="1116">
        <f t="shared" si="25"/>
        <v>0</v>
      </c>
      <c r="AA74" s="1052">
        <f t="shared" si="26"/>
        <v>1954090</v>
      </c>
      <c r="AB74" s="1052">
        <f t="shared" si="23"/>
        <v>371877748845591.87</v>
      </c>
      <c r="AC74" s="1052">
        <v>200000</v>
      </c>
      <c r="AD74" s="1052">
        <v>100000</v>
      </c>
      <c r="AE74" s="1052">
        <f t="shared" si="21"/>
        <v>371877751099681.87</v>
      </c>
      <c r="AF74" s="1201"/>
      <c r="AG74" s="1052"/>
    </row>
    <row r="75" spans="1:33" s="1117" customFormat="1">
      <c r="A75" s="1052">
        <v>69</v>
      </c>
      <c r="B75" s="1052" t="s">
        <v>2932</v>
      </c>
      <c r="C75" s="1052" t="s">
        <v>2972</v>
      </c>
      <c r="D75" s="1052">
        <v>1994146</v>
      </c>
      <c r="E75" s="1052">
        <f t="shared" si="27"/>
        <v>1485460709393732.2</v>
      </c>
      <c r="F75" s="1052">
        <f t="shared" si="10"/>
        <v>1485460711387878.2</v>
      </c>
      <c r="G75" s="1052">
        <v>1098346</v>
      </c>
      <c r="H75" s="1052">
        <f>K75</f>
        <v>1198346</v>
      </c>
      <c r="I75" s="1052">
        <f>D75-H75</f>
        <v>795800</v>
      </c>
      <c r="J75" s="1052">
        <f t="shared" si="22"/>
        <v>1994146</v>
      </c>
      <c r="K75" s="1052">
        <f>100000+472533+325813+300000</f>
        <v>1198346</v>
      </c>
      <c r="L75" s="1052">
        <f>100000+325813+300000+472533</f>
        <v>1198346</v>
      </c>
      <c r="M75" s="1113" t="s">
        <v>227</v>
      </c>
      <c r="N75" s="1052" t="s">
        <v>227</v>
      </c>
      <c r="O75" s="1052" t="s">
        <v>227</v>
      </c>
      <c r="P75" s="1052"/>
      <c r="Q75" s="1052"/>
      <c r="R75" s="1052"/>
      <c r="S75" s="1752"/>
      <c r="T75" s="1752"/>
      <c r="U75" s="1052"/>
      <c r="V75" s="1115">
        <f t="shared" si="28"/>
        <v>475.68219178082194</v>
      </c>
      <c r="W75" s="1052"/>
      <c r="X75" s="1052"/>
      <c r="Y75" s="1116">
        <f t="shared" si="20"/>
        <v>0</v>
      </c>
      <c r="Z75" s="1116">
        <f t="shared" si="25"/>
        <v>0</v>
      </c>
      <c r="AA75" s="1052">
        <f t="shared" si="26"/>
        <v>1994146</v>
      </c>
      <c r="AB75" s="1052">
        <f t="shared" si="23"/>
        <v>1485460709393732.2</v>
      </c>
      <c r="AC75" s="1052">
        <v>200000</v>
      </c>
      <c r="AD75" s="1052">
        <v>100000</v>
      </c>
      <c r="AE75" s="1052">
        <f t="shared" si="21"/>
        <v>1485460711687878.2</v>
      </c>
      <c r="AF75" s="1201"/>
      <c r="AG75" s="1052"/>
    </row>
    <row r="76" spans="1:33" s="1117" customFormat="1" ht="30">
      <c r="A76" s="1052">
        <v>70</v>
      </c>
      <c r="B76" s="1052" t="s">
        <v>2933</v>
      </c>
      <c r="C76" s="1055" t="s">
        <v>3103</v>
      </c>
      <c r="D76" s="1052">
        <v>4645563</v>
      </c>
      <c r="E76" s="1052">
        <f t="shared" si="27"/>
        <v>0</v>
      </c>
      <c r="F76" s="1052">
        <f t="shared" si="10"/>
        <v>4645563</v>
      </c>
      <c r="G76" s="1052">
        <v>2017500</v>
      </c>
      <c r="H76" s="1052"/>
      <c r="I76" s="1052"/>
      <c r="J76" s="1052">
        <f t="shared" si="22"/>
        <v>0</v>
      </c>
      <c r="K76" s="1052"/>
      <c r="L76" s="1052"/>
      <c r="M76" s="1113">
        <f t="shared" si="24"/>
        <v>0</v>
      </c>
      <c r="N76" s="1052"/>
      <c r="O76" s="1052"/>
      <c r="P76" s="1052"/>
      <c r="Q76" s="1052"/>
      <c r="R76" s="1052"/>
      <c r="S76" s="1752"/>
      <c r="T76" s="1752"/>
      <c r="U76" s="1052"/>
      <c r="V76" s="1115">
        <f t="shared" si="28"/>
        <v>475.68219178082194</v>
      </c>
      <c r="W76" s="1052"/>
      <c r="X76" s="1052"/>
      <c r="Y76" s="1116">
        <f t="shared" si="20"/>
        <v>0</v>
      </c>
      <c r="Z76" s="1116">
        <f t="shared" si="25"/>
        <v>0</v>
      </c>
      <c r="AA76" s="1052">
        <f t="shared" si="26"/>
        <v>4645563</v>
      </c>
      <c r="AB76" s="1052">
        <f t="shared" si="23"/>
        <v>0</v>
      </c>
      <c r="AC76" s="1052">
        <v>200000</v>
      </c>
      <c r="AD76" s="1052">
        <v>100000</v>
      </c>
      <c r="AE76" s="1052">
        <f t="shared" si="21"/>
        <v>4945563</v>
      </c>
      <c r="AF76" s="1201"/>
      <c r="AG76" s="1052"/>
    </row>
    <row r="77" spans="1:33" s="1117" customFormat="1">
      <c r="A77" s="1052">
        <v>71</v>
      </c>
      <c r="B77" s="1052" t="s">
        <v>2934</v>
      </c>
      <c r="C77" s="1052" t="s">
        <v>2973</v>
      </c>
      <c r="D77" s="1052">
        <v>1409056</v>
      </c>
      <c r="E77" s="1052">
        <f t="shared" si="27"/>
        <v>0</v>
      </c>
      <c r="F77" s="1052">
        <f t="shared" ref="F77:G87" si="29">D77+E77</f>
        <v>1409056</v>
      </c>
      <c r="G77" s="1052">
        <v>725812</v>
      </c>
      <c r="H77" s="1052"/>
      <c r="I77" s="1052"/>
      <c r="J77" s="1052">
        <f t="shared" si="22"/>
        <v>0</v>
      </c>
      <c r="K77" s="1052"/>
      <c r="L77" s="1052"/>
      <c r="M77" s="1113">
        <f t="shared" si="24"/>
        <v>0</v>
      </c>
      <c r="N77" s="1052"/>
      <c r="O77" s="1052"/>
      <c r="P77" s="1052"/>
      <c r="Q77" s="1052"/>
      <c r="R77" s="1052"/>
      <c r="S77" s="1752"/>
      <c r="T77" s="1752"/>
      <c r="U77" s="1052"/>
      <c r="V77" s="1115">
        <f t="shared" si="28"/>
        <v>475.68219178082194</v>
      </c>
      <c r="W77" s="1052"/>
      <c r="X77" s="1052"/>
      <c r="Y77" s="1116">
        <f t="shared" si="20"/>
        <v>0</v>
      </c>
      <c r="Z77" s="1116">
        <f t="shared" si="25"/>
        <v>0</v>
      </c>
      <c r="AA77" s="1052">
        <f t="shared" si="26"/>
        <v>1409056</v>
      </c>
      <c r="AB77" s="1052">
        <f t="shared" si="23"/>
        <v>0</v>
      </c>
      <c r="AC77" s="1052">
        <v>200000</v>
      </c>
      <c r="AD77" s="1052">
        <v>100000</v>
      </c>
      <c r="AE77" s="1052">
        <f t="shared" si="21"/>
        <v>1709056</v>
      </c>
      <c r="AF77" s="1201"/>
      <c r="AG77" s="1052"/>
    </row>
    <row r="78" spans="1:33" s="1117" customFormat="1">
      <c r="A78" s="1052">
        <v>72</v>
      </c>
      <c r="B78" s="1052" t="s">
        <v>2935</v>
      </c>
      <c r="C78" s="1052" t="s">
        <v>2974</v>
      </c>
      <c r="D78" s="1052">
        <v>1666262</v>
      </c>
      <c r="E78" s="1052">
        <f t="shared" si="27"/>
        <v>0</v>
      </c>
      <c r="F78" s="1052">
        <f>D78+E78</f>
        <v>1666262</v>
      </c>
      <c r="G78" s="1052">
        <v>1069462</v>
      </c>
      <c r="H78" s="1052"/>
      <c r="I78" s="1052"/>
      <c r="J78" s="1052">
        <f t="shared" si="22"/>
        <v>0</v>
      </c>
      <c r="K78" s="1052"/>
      <c r="L78" s="1052"/>
      <c r="M78" s="1113">
        <f t="shared" si="24"/>
        <v>0</v>
      </c>
      <c r="N78" s="1052"/>
      <c r="O78" s="1052"/>
      <c r="P78" s="1052"/>
      <c r="Q78" s="1052"/>
      <c r="R78" s="1052"/>
      <c r="S78" s="1752"/>
      <c r="T78" s="1752"/>
      <c r="U78" s="1052"/>
      <c r="V78" s="1115">
        <f t="shared" si="28"/>
        <v>475.68219178082194</v>
      </c>
      <c r="W78" s="1052"/>
      <c r="X78" s="1052"/>
      <c r="Y78" s="1116">
        <f t="shared" si="20"/>
        <v>0</v>
      </c>
      <c r="Z78" s="1116">
        <f t="shared" si="25"/>
        <v>0</v>
      </c>
      <c r="AA78" s="1052">
        <f t="shared" si="26"/>
        <v>1666262</v>
      </c>
      <c r="AB78" s="1052">
        <f t="shared" si="23"/>
        <v>0</v>
      </c>
      <c r="AC78" s="1052">
        <v>200000</v>
      </c>
      <c r="AD78" s="1052">
        <v>100000</v>
      </c>
      <c r="AE78" s="1052">
        <f t="shared" si="21"/>
        <v>1966262</v>
      </c>
      <c r="AF78" s="1201"/>
      <c r="AG78" s="1052"/>
    </row>
    <row r="79" spans="1:33" s="1117" customFormat="1">
      <c r="A79" s="1052">
        <v>73</v>
      </c>
      <c r="B79" s="1052" t="s">
        <v>2936</v>
      </c>
      <c r="C79" s="1052" t="s">
        <v>3104</v>
      </c>
      <c r="D79" s="1052">
        <v>2773750</v>
      </c>
      <c r="E79" s="1052">
        <f t="shared" si="27"/>
        <v>0</v>
      </c>
      <c r="F79" s="1052">
        <f t="shared" si="29"/>
        <v>2773750</v>
      </c>
      <c r="G79" s="1052">
        <v>1600000</v>
      </c>
      <c r="H79" s="1052"/>
      <c r="I79" s="1052"/>
      <c r="J79" s="1052">
        <f t="shared" si="22"/>
        <v>0</v>
      </c>
      <c r="K79" s="1052">
        <f>900000</f>
        <v>900000</v>
      </c>
      <c r="L79" s="1052">
        <v>900000</v>
      </c>
      <c r="M79" s="1113">
        <f t="shared" si="24"/>
        <v>0</v>
      </c>
      <c r="N79" s="1052"/>
      <c r="O79" s="1052"/>
      <c r="P79" s="1052"/>
      <c r="Q79" s="1052"/>
      <c r="R79" s="1052"/>
      <c r="S79" s="1752"/>
      <c r="T79" s="1752"/>
      <c r="U79" s="1052"/>
      <c r="V79" s="1115">
        <f t="shared" si="28"/>
        <v>475.68219178082194</v>
      </c>
      <c r="W79" s="1052"/>
      <c r="X79" s="1052"/>
      <c r="Y79" s="1116">
        <f t="shared" si="20"/>
        <v>0</v>
      </c>
      <c r="Z79" s="1116">
        <f t="shared" si="25"/>
        <v>0</v>
      </c>
      <c r="AA79" s="1052">
        <f t="shared" si="26"/>
        <v>2773750</v>
      </c>
      <c r="AB79" s="1052">
        <f t="shared" si="23"/>
        <v>0</v>
      </c>
      <c r="AC79" s="1052">
        <v>200000</v>
      </c>
      <c r="AD79" s="1052">
        <v>100000</v>
      </c>
      <c r="AE79" s="1052">
        <f t="shared" si="21"/>
        <v>3073750</v>
      </c>
      <c r="AF79" s="1201"/>
      <c r="AG79" s="1052"/>
    </row>
    <row r="80" spans="1:33" s="1117" customFormat="1">
      <c r="A80" s="1052">
        <v>74</v>
      </c>
      <c r="B80" s="1052" t="s">
        <v>2937</v>
      </c>
      <c r="C80" s="1052" t="s">
        <v>2975</v>
      </c>
      <c r="D80" s="1052">
        <v>2109082</v>
      </c>
      <c r="E80" s="1052">
        <f t="shared" si="27"/>
        <v>0</v>
      </c>
      <c r="F80" s="1052">
        <f t="shared" si="29"/>
        <v>2109082</v>
      </c>
      <c r="G80" s="1052">
        <v>1098346</v>
      </c>
      <c r="H80" s="1052"/>
      <c r="I80" s="1052"/>
      <c r="J80" s="1052">
        <f t="shared" si="22"/>
        <v>0</v>
      </c>
      <c r="K80" s="1052">
        <f>433219+300000</f>
        <v>733219</v>
      </c>
      <c r="L80" s="1052">
        <f>433219+90000</f>
        <v>523219</v>
      </c>
      <c r="M80" s="1113">
        <f t="shared" si="24"/>
        <v>210000</v>
      </c>
      <c r="N80" s="1052"/>
      <c r="O80" s="1052"/>
      <c r="P80" s="1052"/>
      <c r="Q80" s="1052"/>
      <c r="R80" s="1052"/>
      <c r="S80" s="1752"/>
      <c r="T80" s="1752"/>
      <c r="U80" s="1052"/>
      <c r="V80" s="1115">
        <f t="shared" si="28"/>
        <v>475.68219178082194</v>
      </c>
      <c r="W80" s="1052"/>
      <c r="X80" s="1052"/>
      <c r="Y80" s="1116">
        <f t="shared" si="20"/>
        <v>0</v>
      </c>
      <c r="Z80" s="1116">
        <f t="shared" si="25"/>
        <v>0</v>
      </c>
      <c r="AA80" s="1052">
        <f t="shared" si="26"/>
        <v>2109082</v>
      </c>
      <c r="AB80" s="1052">
        <f t="shared" si="23"/>
        <v>0</v>
      </c>
      <c r="AC80" s="1052">
        <v>200000</v>
      </c>
      <c r="AD80" s="1052">
        <v>100000</v>
      </c>
      <c r="AE80" s="1052">
        <f t="shared" si="21"/>
        <v>2409082</v>
      </c>
      <c r="AF80" s="1201"/>
      <c r="AG80" s="1052"/>
    </row>
    <row r="81" spans="1:157" ht="74.25" customHeight="1">
      <c r="A81" s="1056">
        <v>75</v>
      </c>
      <c r="B81" s="1056" t="s">
        <v>3105</v>
      </c>
      <c r="C81" s="1056" t="s">
        <v>3106</v>
      </c>
      <c r="D81" s="1056">
        <v>2225000</v>
      </c>
      <c r="E81" s="1056">
        <f t="shared" si="27"/>
        <v>0</v>
      </c>
      <c r="F81" s="1056">
        <f t="shared" si="29"/>
        <v>2225000</v>
      </c>
      <c r="G81" s="1056">
        <v>2225000</v>
      </c>
      <c r="H81" s="1056"/>
      <c r="I81" s="1056">
        <v>0</v>
      </c>
      <c r="J81" s="1056">
        <f t="shared" si="22"/>
        <v>0</v>
      </c>
      <c r="K81" s="1056">
        <f>400000+500000+325000+500000+500000</f>
        <v>2225000</v>
      </c>
      <c r="L81" s="1056">
        <v>0</v>
      </c>
      <c r="M81" s="1126">
        <f t="shared" si="24"/>
        <v>2225000</v>
      </c>
      <c r="N81" s="1056"/>
      <c r="O81" s="1056"/>
      <c r="P81" s="1056"/>
      <c r="Q81" s="1056"/>
      <c r="R81" s="1127">
        <v>41392</v>
      </c>
      <c r="S81" s="1753">
        <f>R81+(365*3)+2</f>
        <v>42489</v>
      </c>
      <c r="T81" s="1753"/>
      <c r="U81" s="1056">
        <f>($X$1-S81)/365</f>
        <v>2.5123287671232877</v>
      </c>
      <c r="V81" s="1198">
        <f t="shared" si="28"/>
        <v>10.049315068493151</v>
      </c>
      <c r="W81" s="1056">
        <f>K81*U81*8/100</f>
        <v>447194.52054794523</v>
      </c>
      <c r="X81" s="1056">
        <f>K81*U81*18/100</f>
        <v>1006187.6712328768</v>
      </c>
      <c r="Y81" s="1128">
        <f t="shared" si="20"/>
        <v>447194.52054794523</v>
      </c>
      <c r="Z81" s="1128">
        <f t="shared" si="25"/>
        <v>0</v>
      </c>
      <c r="AA81" s="1056">
        <f t="shared" si="26"/>
        <v>2225000</v>
      </c>
      <c r="AB81" s="1056">
        <f t="shared" si="23"/>
        <v>0</v>
      </c>
      <c r="AC81" s="1056">
        <v>200000</v>
      </c>
      <c r="AD81" s="1056">
        <v>100000</v>
      </c>
      <c r="AE81" s="1056">
        <f t="shared" si="21"/>
        <v>2525000</v>
      </c>
      <c r="AF81" s="1203"/>
    </row>
    <row r="82" spans="1:157" s="1124" customFormat="1" ht="91.5" customHeight="1">
      <c r="A82" s="1053">
        <v>76</v>
      </c>
      <c r="B82" s="1053" t="s">
        <v>3107</v>
      </c>
      <c r="C82" s="1053" t="s">
        <v>3108</v>
      </c>
      <c r="D82" s="1053">
        <v>2100000</v>
      </c>
      <c r="E82" s="1053">
        <f t="shared" si="27"/>
        <v>3210507.2678879942</v>
      </c>
      <c r="F82" s="1053">
        <f t="shared" si="29"/>
        <v>5310507.2678879946</v>
      </c>
      <c r="G82" s="1053">
        <v>2100000</v>
      </c>
      <c r="H82" s="1053">
        <v>2100000</v>
      </c>
      <c r="I82" s="1053">
        <v>0</v>
      </c>
      <c r="J82" s="1053">
        <f t="shared" si="22"/>
        <v>2100000</v>
      </c>
      <c r="K82" s="1053">
        <f>100000+400000+500000+1000000+500000</f>
        <v>2500000</v>
      </c>
      <c r="L82" s="1053">
        <v>0</v>
      </c>
      <c r="M82" s="1118">
        <f t="shared" si="24"/>
        <v>2500000</v>
      </c>
      <c r="N82" s="1053"/>
      <c r="O82" s="1053"/>
      <c r="P82" s="1053"/>
      <c r="Q82" s="1053"/>
      <c r="R82" s="1120">
        <v>41429</v>
      </c>
      <c r="S82" s="1754">
        <f>R82+(365*3)+2</f>
        <v>42526</v>
      </c>
      <c r="T82" s="1754"/>
      <c r="U82" s="1053">
        <f>($X$1-S82)/365</f>
        <v>2.4109589041095889</v>
      </c>
      <c r="V82" s="1122">
        <f t="shared" si="28"/>
        <v>9.6438356164383556</v>
      </c>
      <c r="W82" s="1053">
        <f>K82*U82*8/100</f>
        <v>482191.78082191781</v>
      </c>
      <c r="X82" s="1053">
        <f>K82*U82*18/100</f>
        <v>1084931.506849315</v>
      </c>
      <c r="Y82" s="1123">
        <f t="shared" si="20"/>
        <v>405041.09589041094</v>
      </c>
      <c r="Z82" s="1123">
        <f t="shared" si="25"/>
        <v>405041.09589041094</v>
      </c>
      <c r="AA82" s="1053">
        <f t="shared" si="26"/>
        <v>2505041.0958904112</v>
      </c>
      <c r="AB82" s="1053">
        <f t="shared" si="23"/>
        <v>3210507.2678879942</v>
      </c>
      <c r="AC82" s="1053">
        <v>200000</v>
      </c>
      <c r="AD82" s="1053">
        <v>100000</v>
      </c>
      <c r="AE82" s="1053">
        <f t="shared" si="21"/>
        <v>5610507.2678879946</v>
      </c>
      <c r="AF82" s="1202"/>
      <c r="AG82" s="1053"/>
    </row>
    <row r="83" spans="1:157" s="1112" customFormat="1">
      <c r="A83" s="1050">
        <v>77</v>
      </c>
      <c r="B83" s="1050" t="s">
        <v>3109</v>
      </c>
      <c r="C83" s="1050" t="s">
        <v>3110</v>
      </c>
      <c r="D83" s="1050">
        <v>2173175</v>
      </c>
      <c r="E83" s="1050">
        <f t="shared" si="27"/>
        <v>2863734.2626314731</v>
      </c>
      <c r="F83" s="1050">
        <f t="shared" si="29"/>
        <v>5036909.2626314731</v>
      </c>
      <c r="G83" s="1050">
        <v>2173175</v>
      </c>
      <c r="H83" s="1050">
        <v>1873175</v>
      </c>
      <c r="I83" s="1050">
        <v>0</v>
      </c>
      <c r="J83" s="1050">
        <f t="shared" si="22"/>
        <v>1873175</v>
      </c>
      <c r="K83" s="1050">
        <f>373175+500000+500000+500000</f>
        <v>1873175</v>
      </c>
      <c r="L83" s="1050">
        <v>0</v>
      </c>
      <c r="M83" s="1107">
        <f t="shared" si="24"/>
        <v>1873175</v>
      </c>
      <c r="N83" s="1050" t="s">
        <v>227</v>
      </c>
      <c r="O83" s="1050"/>
      <c r="P83" s="1050"/>
      <c r="Q83" s="1050"/>
      <c r="R83" s="1108">
        <v>41429</v>
      </c>
      <c r="S83" s="1755">
        <f>R83+(365*3)+2</f>
        <v>42526</v>
      </c>
      <c r="T83" s="1755"/>
      <c r="U83" s="1050">
        <f>($X$1-S83)/365</f>
        <v>2.4109589041095889</v>
      </c>
      <c r="V83" s="1110">
        <f t="shared" si="28"/>
        <v>9.6438356164383556</v>
      </c>
      <c r="W83" s="1050">
        <f>K83*U83*8/100</f>
        <v>361291.8356164383</v>
      </c>
      <c r="X83" s="1050">
        <f>K83*U83*18/100</f>
        <v>812906.63013698626</v>
      </c>
      <c r="Y83" s="1111">
        <f t="shared" si="20"/>
        <v>419154.84931506845</v>
      </c>
      <c r="Z83" s="1111">
        <f t="shared" si="25"/>
        <v>361291.83561643836</v>
      </c>
      <c r="AA83" s="1050">
        <f t="shared" si="26"/>
        <v>2534466.8356164382</v>
      </c>
      <c r="AB83" s="1050">
        <f t="shared" si="23"/>
        <v>2863734.2626314731</v>
      </c>
      <c r="AC83" s="1050">
        <v>200000</v>
      </c>
      <c r="AD83" s="1050">
        <v>100000</v>
      </c>
      <c r="AE83" s="1050">
        <f t="shared" si="21"/>
        <v>5336909.2626314731</v>
      </c>
      <c r="AF83" s="1200"/>
      <c r="AG83" s="1050"/>
    </row>
    <row r="84" spans="1:157" ht="45">
      <c r="A84" s="1056">
        <v>78</v>
      </c>
      <c r="B84" s="1056" t="s">
        <v>3111</v>
      </c>
      <c r="C84" s="1057" t="s">
        <v>3112</v>
      </c>
      <c r="D84" s="1056">
        <v>7000000</v>
      </c>
      <c r="E84" s="1056">
        <f t="shared" si="27"/>
        <v>0</v>
      </c>
      <c r="F84" s="1056">
        <f t="shared" si="29"/>
        <v>7000000</v>
      </c>
      <c r="G84" s="1056">
        <f t="shared" si="29"/>
        <v>7000000</v>
      </c>
      <c r="H84" s="1056"/>
      <c r="I84" s="1056"/>
      <c r="J84" s="1056">
        <f t="shared" si="22"/>
        <v>0</v>
      </c>
      <c r="K84" s="1056"/>
      <c r="L84" s="1056"/>
      <c r="M84" s="1126">
        <v>0</v>
      </c>
      <c r="N84" s="1056"/>
      <c r="O84" s="1056"/>
      <c r="P84" s="1056"/>
      <c r="Q84" s="1056"/>
      <c r="R84" s="1127">
        <v>43069</v>
      </c>
      <c r="S84" s="1753">
        <f>R84+(365*3)+2</f>
        <v>44166</v>
      </c>
      <c r="T84" s="1753"/>
      <c r="U84" s="1056">
        <f>($X$1-S84)/365</f>
        <v>-2.0821917808219177</v>
      </c>
      <c r="V84" s="1198">
        <f t="shared" si="28"/>
        <v>-8.3287671232876708</v>
      </c>
      <c r="W84" s="1056"/>
      <c r="X84" s="1056"/>
      <c r="Y84" s="1128">
        <f t="shared" si="20"/>
        <v>-1166027.3972602738</v>
      </c>
      <c r="Z84" s="1128">
        <f t="shared" si="25"/>
        <v>0</v>
      </c>
      <c r="AA84" s="1056">
        <f t="shared" si="26"/>
        <v>7000000</v>
      </c>
      <c r="AB84" s="1056">
        <f t="shared" si="23"/>
        <v>0</v>
      </c>
      <c r="AC84" s="1056">
        <v>200000</v>
      </c>
      <c r="AD84" s="1056">
        <v>100000</v>
      </c>
      <c r="AE84" s="1056">
        <f t="shared" si="21"/>
        <v>7300000</v>
      </c>
      <c r="AF84" s="1203"/>
    </row>
    <row r="85" spans="1:157">
      <c r="A85" s="1056">
        <v>79</v>
      </c>
      <c r="B85" s="1056" t="s">
        <v>3113</v>
      </c>
      <c r="C85" s="1056" t="s">
        <v>3114</v>
      </c>
      <c r="D85" s="1056">
        <v>33000000</v>
      </c>
      <c r="E85" s="1056">
        <f t="shared" si="27"/>
        <v>0</v>
      </c>
      <c r="F85" s="1056">
        <f t="shared" si="29"/>
        <v>33000000</v>
      </c>
      <c r="G85" s="1056">
        <f>F85</f>
        <v>33000000</v>
      </c>
      <c r="H85" s="1056"/>
      <c r="I85" s="1056"/>
      <c r="J85" s="1056">
        <f t="shared" si="22"/>
        <v>0</v>
      </c>
      <c r="K85" s="1056"/>
      <c r="L85" s="1056"/>
      <c r="M85" s="1126">
        <f t="shared" si="24"/>
        <v>0</v>
      </c>
      <c r="N85" s="1056"/>
      <c r="O85" s="1056"/>
      <c r="P85" s="1056"/>
      <c r="Q85" s="1056"/>
      <c r="R85" s="1056"/>
      <c r="S85" s="1753"/>
      <c r="T85" s="1753"/>
      <c r="U85" s="1056"/>
      <c r="V85" s="1198">
        <f t="shared" si="28"/>
        <v>475.68219178082194</v>
      </c>
      <c r="W85" s="1056"/>
      <c r="X85" s="1056"/>
      <c r="Y85" s="1128">
        <f t="shared" si="20"/>
        <v>0</v>
      </c>
      <c r="Z85" s="1128">
        <f t="shared" si="25"/>
        <v>0</v>
      </c>
      <c r="AA85" s="1056">
        <f t="shared" si="26"/>
        <v>33000000</v>
      </c>
      <c r="AB85" s="1056">
        <f t="shared" si="23"/>
        <v>0</v>
      </c>
      <c r="AC85" s="1056">
        <v>200000</v>
      </c>
      <c r="AD85" s="1056">
        <v>100000</v>
      </c>
      <c r="AE85" s="1056">
        <f t="shared" si="21"/>
        <v>33300000</v>
      </c>
      <c r="AF85" s="1203"/>
    </row>
    <row r="86" spans="1:157" s="1117" customFormat="1">
      <c r="A86" s="1052">
        <v>80</v>
      </c>
      <c r="B86" s="1052" t="s">
        <v>3115</v>
      </c>
      <c r="C86" s="1052" t="s">
        <v>3116</v>
      </c>
      <c r="D86" s="1052">
        <v>700000</v>
      </c>
      <c r="E86" s="1052">
        <f t="shared" si="27"/>
        <v>0</v>
      </c>
      <c r="F86" s="1052">
        <f t="shared" si="29"/>
        <v>700000</v>
      </c>
      <c r="G86" s="1052"/>
      <c r="H86" s="1052"/>
      <c r="I86" s="1052"/>
      <c r="J86" s="1052">
        <f t="shared" si="22"/>
        <v>0</v>
      </c>
      <c r="K86" s="1052">
        <f>100000+600000</f>
        <v>700000</v>
      </c>
      <c r="L86" s="1052">
        <v>700000</v>
      </c>
      <c r="M86" s="1052">
        <v>0</v>
      </c>
      <c r="N86" s="1052"/>
      <c r="O86" s="1052"/>
      <c r="P86" s="1052"/>
      <c r="Q86" s="1052"/>
      <c r="R86" s="1052"/>
      <c r="S86" s="1752"/>
      <c r="T86" s="1752"/>
      <c r="U86" s="1052"/>
      <c r="V86" s="1115">
        <f t="shared" si="28"/>
        <v>475.68219178082194</v>
      </c>
      <c r="W86" s="1052"/>
      <c r="X86" s="1052"/>
      <c r="Y86" s="1116">
        <f t="shared" si="20"/>
        <v>0</v>
      </c>
      <c r="Z86" s="1116">
        <f t="shared" si="25"/>
        <v>0</v>
      </c>
      <c r="AA86" s="1052">
        <f t="shared" si="26"/>
        <v>700000</v>
      </c>
      <c r="AB86" s="1052">
        <f t="shared" si="23"/>
        <v>0</v>
      </c>
      <c r="AC86" s="1052">
        <v>200000</v>
      </c>
      <c r="AD86" s="1052">
        <v>100000</v>
      </c>
      <c r="AE86" s="1052">
        <f t="shared" ref="AE86:AE97" si="30">+D86+AB86+AC86+AD86</f>
        <v>1000000</v>
      </c>
      <c r="AF86" s="1201"/>
      <c r="AG86" s="1052"/>
    </row>
    <row r="87" spans="1:157" ht="30">
      <c r="A87" s="1056">
        <v>81</v>
      </c>
      <c r="B87" s="1056" t="s">
        <v>3117</v>
      </c>
      <c r="C87" s="1057" t="s">
        <v>3118</v>
      </c>
      <c r="D87" s="1056">
        <v>2750000</v>
      </c>
      <c r="E87" s="1056">
        <f t="shared" si="27"/>
        <v>0</v>
      </c>
      <c r="F87" s="1056">
        <f t="shared" si="29"/>
        <v>2750000</v>
      </c>
      <c r="G87" s="1056">
        <f>D87</f>
        <v>2750000</v>
      </c>
      <c r="H87" s="1056"/>
      <c r="I87" s="1056"/>
      <c r="J87" s="1056">
        <f t="shared" si="22"/>
        <v>0</v>
      </c>
      <c r="K87" s="1056">
        <f>200000+100000+100000+300000+100000+100000+150000+300000+250000+650000+400000+100000</f>
        <v>2750000</v>
      </c>
      <c r="L87" s="1056">
        <f>2750000-400000</f>
        <v>2350000</v>
      </c>
      <c r="M87" s="1056">
        <v>400000</v>
      </c>
      <c r="N87" s="1056">
        <v>2750000</v>
      </c>
      <c r="O87" s="1056"/>
      <c r="P87" s="1056"/>
      <c r="Q87" s="1056"/>
      <c r="R87" s="1150">
        <v>41782</v>
      </c>
      <c r="S87" s="1753">
        <f>R87+(365*3)+2</f>
        <v>42879</v>
      </c>
      <c r="T87" s="1753"/>
      <c r="U87" s="1056">
        <f>($X$1-S87)/365</f>
        <v>1.4438356164383561</v>
      </c>
      <c r="V87" s="1198">
        <f t="shared" si="28"/>
        <v>5.7753424657534245</v>
      </c>
      <c r="W87" s="1056">
        <f>K87*U87*8/100</f>
        <v>317643.83561643836</v>
      </c>
      <c r="X87" s="1056">
        <f>K87*U87*18/100</f>
        <v>714698.63013698626</v>
      </c>
      <c r="Y87" s="1128">
        <f t="shared" si="20"/>
        <v>317643.83561643836</v>
      </c>
      <c r="Z87" s="1128">
        <f t="shared" si="25"/>
        <v>0</v>
      </c>
      <c r="AA87" s="1056">
        <f t="shared" si="26"/>
        <v>2750000</v>
      </c>
      <c r="AB87" s="1056">
        <f t="shared" si="23"/>
        <v>0</v>
      </c>
      <c r="AC87" s="1056">
        <v>200000</v>
      </c>
      <c r="AD87" s="1056">
        <v>100000</v>
      </c>
      <c r="AE87" s="1056">
        <f t="shared" si="30"/>
        <v>3050000</v>
      </c>
      <c r="AF87" s="1203"/>
    </row>
    <row r="88" spans="1:157" s="1053" customFormat="1" ht="171.75" customHeight="1">
      <c r="A88" s="1053">
        <v>82</v>
      </c>
      <c r="B88" s="1053" t="s">
        <v>3119</v>
      </c>
      <c r="C88" s="1054" t="s">
        <v>2976</v>
      </c>
      <c r="D88" s="1053">
        <v>17679328</v>
      </c>
      <c r="E88" s="1053">
        <f t="shared" si="27"/>
        <v>5578535</v>
      </c>
      <c r="F88" s="1053">
        <f>D88+E88</f>
        <v>23257863</v>
      </c>
      <c r="G88" s="1053">
        <f>D88</f>
        <v>17679328</v>
      </c>
      <c r="H88" s="1053">
        <v>17679328</v>
      </c>
      <c r="J88" s="1053">
        <f t="shared" si="22"/>
        <v>17679328</v>
      </c>
      <c r="K88" s="1053">
        <f>600000+500000+500000+500000+1200000+500000+500000+500000+500000+200000+400000+300000+500000</f>
        <v>6700000</v>
      </c>
      <c r="L88" s="1053">
        <f>100000+100000</f>
        <v>200000</v>
      </c>
      <c r="P88" s="1053">
        <v>17679328</v>
      </c>
      <c r="R88" s="1151"/>
      <c r="S88" s="1754">
        <f>R88+(365*3)+2</f>
        <v>1097</v>
      </c>
      <c r="T88" s="1754"/>
      <c r="U88" s="1053">
        <f t="shared" ref="U88:U97" si="31">($X$1-S88)/365</f>
        <v>115.91506849315068</v>
      </c>
      <c r="V88" s="1122">
        <f t="shared" si="28"/>
        <v>463.66027397260274</v>
      </c>
      <c r="W88" s="1053">
        <f>K88*U88*8/100</f>
        <v>62130476.712328769</v>
      </c>
      <c r="Y88" s="1123">
        <f t="shared" si="20"/>
        <v>163944041.28263015</v>
      </c>
      <c r="Z88" s="1123">
        <f t="shared" si="25"/>
        <v>163944041.28263015</v>
      </c>
      <c r="AA88" s="1053">
        <f t="shared" si="26"/>
        <v>181623369.28263015</v>
      </c>
      <c r="AB88" s="1053">
        <f>4716494+862041</f>
        <v>5578535</v>
      </c>
      <c r="AC88" s="1053">
        <v>200000</v>
      </c>
      <c r="AD88" s="1053">
        <v>100000</v>
      </c>
      <c r="AE88" s="1053">
        <f t="shared" si="30"/>
        <v>23557863</v>
      </c>
      <c r="AF88" s="1202"/>
      <c r="AH88" s="1124"/>
      <c r="AI88" s="1124"/>
      <c r="AJ88" s="1124"/>
      <c r="AK88" s="1124"/>
      <c r="AL88" s="1124"/>
      <c r="AM88" s="1124"/>
      <c r="AN88" s="1124"/>
      <c r="AO88" s="1124"/>
      <c r="AP88" s="1124"/>
      <c r="AQ88" s="1124"/>
      <c r="AR88" s="1124"/>
      <c r="AS88" s="1124"/>
      <c r="AT88" s="1124"/>
      <c r="AU88" s="1124"/>
      <c r="AV88" s="1124"/>
      <c r="AW88" s="1124"/>
      <c r="AX88" s="1124"/>
      <c r="AY88" s="1124"/>
      <c r="AZ88" s="1124"/>
      <c r="BA88" s="1124"/>
      <c r="BB88" s="1124"/>
      <c r="BC88" s="1124"/>
      <c r="BD88" s="1124"/>
      <c r="BE88" s="1124"/>
      <c r="BF88" s="1124"/>
      <c r="BG88" s="1124"/>
      <c r="BH88" s="1124"/>
      <c r="BI88" s="1124"/>
      <c r="BJ88" s="1124"/>
      <c r="BK88" s="1124"/>
      <c r="BL88" s="1124"/>
      <c r="BM88" s="1124"/>
      <c r="BN88" s="1124"/>
      <c r="BO88" s="1124"/>
      <c r="BP88" s="1124"/>
      <c r="BQ88" s="1124"/>
      <c r="BR88" s="1124"/>
      <c r="BS88" s="1124"/>
      <c r="BT88" s="1124"/>
      <c r="BU88" s="1124"/>
      <c r="BV88" s="1124"/>
      <c r="BW88" s="1124"/>
      <c r="BX88" s="1124"/>
      <c r="BY88" s="1124"/>
      <c r="BZ88" s="1124"/>
      <c r="CA88" s="1124"/>
      <c r="CB88" s="1124"/>
      <c r="CC88" s="1124"/>
      <c r="CD88" s="1124"/>
      <c r="CE88" s="1124"/>
      <c r="CF88" s="1124"/>
      <c r="CG88" s="1124"/>
      <c r="CH88" s="1124"/>
      <c r="CI88" s="1124"/>
      <c r="CJ88" s="1124"/>
      <c r="CK88" s="1124"/>
      <c r="CL88" s="1124"/>
      <c r="CM88" s="1124"/>
      <c r="CN88" s="1124"/>
      <c r="CO88" s="1124"/>
      <c r="CP88" s="1124"/>
      <c r="CQ88" s="1124"/>
      <c r="CR88" s="1124"/>
      <c r="CS88" s="1124"/>
      <c r="CT88" s="1124"/>
      <c r="CU88" s="1124"/>
      <c r="CV88" s="1124"/>
      <c r="CW88" s="1124"/>
      <c r="CX88" s="1124"/>
      <c r="CY88" s="1124"/>
      <c r="CZ88" s="1124"/>
      <c r="DA88" s="1124"/>
      <c r="DB88" s="1124"/>
      <c r="DC88" s="1124"/>
      <c r="DD88" s="1124"/>
      <c r="DE88" s="1124"/>
      <c r="DF88" s="1124"/>
      <c r="DG88" s="1124"/>
      <c r="DH88" s="1124"/>
      <c r="DI88" s="1124"/>
      <c r="DJ88" s="1124"/>
      <c r="DK88" s="1124"/>
      <c r="DL88" s="1124"/>
      <c r="DM88" s="1124"/>
      <c r="DN88" s="1124"/>
      <c r="DO88" s="1124"/>
      <c r="DP88" s="1124"/>
      <c r="DQ88" s="1124"/>
      <c r="DR88" s="1124"/>
      <c r="DS88" s="1124"/>
      <c r="DT88" s="1124"/>
      <c r="DU88" s="1124"/>
      <c r="DV88" s="1124"/>
      <c r="DW88" s="1124"/>
      <c r="DX88" s="1124"/>
      <c r="DY88" s="1124"/>
      <c r="DZ88" s="1124"/>
      <c r="EA88" s="1124"/>
      <c r="EB88" s="1124"/>
      <c r="EC88" s="1124"/>
      <c r="ED88" s="1124"/>
      <c r="EE88" s="1124"/>
      <c r="EF88" s="1124"/>
      <c r="EG88" s="1124"/>
      <c r="EH88" s="1124"/>
      <c r="EI88" s="1124"/>
      <c r="EJ88" s="1124"/>
      <c r="EK88" s="1124"/>
      <c r="EL88" s="1124"/>
      <c r="EM88" s="1124"/>
      <c r="EN88" s="1124"/>
      <c r="EO88" s="1124"/>
      <c r="EP88" s="1124"/>
      <c r="EQ88" s="1124"/>
      <c r="ER88" s="1124"/>
      <c r="ES88" s="1124"/>
      <c r="ET88" s="1124"/>
      <c r="EU88" s="1124"/>
      <c r="EV88" s="1124"/>
      <c r="EW88" s="1124"/>
      <c r="EX88" s="1124"/>
      <c r="EY88" s="1124"/>
      <c r="EZ88" s="1124"/>
      <c r="FA88" s="1124"/>
    </row>
    <row r="89" spans="1:157" s="1117" customFormat="1" ht="30">
      <c r="A89" s="1052">
        <v>83</v>
      </c>
      <c r="B89" s="1052" t="s">
        <v>3120</v>
      </c>
      <c r="C89" s="1055" t="s">
        <v>3121</v>
      </c>
      <c r="D89" s="1052">
        <v>928138</v>
      </c>
      <c r="E89" s="1052">
        <f t="shared" si="27"/>
        <v>0</v>
      </c>
      <c r="F89" s="1052">
        <f>D89</f>
        <v>928138</v>
      </c>
      <c r="G89" s="1052">
        <f>D89</f>
        <v>928138</v>
      </c>
      <c r="H89" s="1052"/>
      <c r="I89" s="1052"/>
      <c r="J89" s="1052">
        <f t="shared" si="22"/>
        <v>0</v>
      </c>
      <c r="K89" s="1052"/>
      <c r="L89" s="1052"/>
      <c r="M89" s="1052">
        <f>817342+110796</f>
        <v>928138</v>
      </c>
      <c r="N89" s="1052"/>
      <c r="O89" s="1052"/>
      <c r="P89" s="1052"/>
      <c r="Q89" s="1052"/>
      <c r="R89" s="1152"/>
      <c r="S89" s="1752">
        <f>R89+(365*3)+2</f>
        <v>1097</v>
      </c>
      <c r="T89" s="1752"/>
      <c r="U89" s="1052">
        <f t="shared" si="31"/>
        <v>115.91506849315068</v>
      </c>
      <c r="V89" s="1115">
        <f t="shared" si="28"/>
        <v>463.66027397260274</v>
      </c>
      <c r="W89" s="1052">
        <f>K89*U89*8/100</f>
        <v>0</v>
      </c>
      <c r="X89" s="1052"/>
      <c r="Y89" s="1116">
        <f t="shared" ref="Y89:Y94" si="32">$D89*8/100*$U89</f>
        <v>8606814.3872876707</v>
      </c>
      <c r="Z89" s="1116">
        <f t="shared" ref="Z89:Z94" si="33">$H89*8/100*$U89</f>
        <v>0</v>
      </c>
      <c r="AA89" s="1052">
        <f t="shared" ref="AA89:AA97" si="34">+D89+Z89</f>
        <v>928138</v>
      </c>
      <c r="AB89" s="1052">
        <f t="shared" ref="AB89:AB97" si="35">+H89*(1+18%/4)^V89</f>
        <v>0</v>
      </c>
      <c r="AC89" s="1052">
        <v>200000</v>
      </c>
      <c r="AD89" s="1052">
        <v>100000</v>
      </c>
      <c r="AE89" s="1052">
        <f t="shared" si="30"/>
        <v>1228138</v>
      </c>
      <c r="AF89" s="1201"/>
      <c r="AG89" s="1052"/>
    </row>
    <row r="90" spans="1:157">
      <c r="A90" s="1056">
        <v>84</v>
      </c>
      <c r="B90" s="1056" t="s">
        <v>3122</v>
      </c>
      <c r="C90" s="1057" t="s">
        <v>3123</v>
      </c>
      <c r="D90" s="1056">
        <v>1150000</v>
      </c>
      <c r="E90" s="1056">
        <f t="shared" si="27"/>
        <v>0</v>
      </c>
      <c r="F90" s="1056">
        <f>D90</f>
        <v>1150000</v>
      </c>
      <c r="G90" s="1056">
        <f>D90</f>
        <v>1150000</v>
      </c>
      <c r="H90" s="1056"/>
      <c r="I90" s="1056"/>
      <c r="J90" s="1056">
        <f t="shared" si="22"/>
        <v>0</v>
      </c>
      <c r="K90" s="1056">
        <f>950000+950000+1000000+50000</f>
        <v>2950000</v>
      </c>
      <c r="L90" s="1056">
        <f>1000000+50000+950000</f>
        <v>2000000</v>
      </c>
      <c r="M90" s="1056">
        <f>+K90-L90</f>
        <v>950000</v>
      </c>
      <c r="N90" s="1056">
        <f>K90</f>
        <v>2950000</v>
      </c>
      <c r="O90" s="1056"/>
      <c r="P90" s="1056"/>
      <c r="Q90" s="1056"/>
      <c r="R90" s="1150"/>
      <c r="S90" s="1753">
        <f>R90+(365*3)+2</f>
        <v>1097</v>
      </c>
      <c r="T90" s="1753"/>
      <c r="U90" s="1056">
        <f t="shared" si="31"/>
        <v>115.91506849315068</v>
      </c>
      <c r="V90" s="1198">
        <f t="shared" si="28"/>
        <v>463.66027397260274</v>
      </c>
      <c r="W90" s="1056">
        <f>K90*U90*8/100</f>
        <v>27355956.16438356</v>
      </c>
      <c r="X90" s="1056"/>
      <c r="Y90" s="1128">
        <f t="shared" si="32"/>
        <v>10664186.301369863</v>
      </c>
      <c r="Z90" s="1128">
        <f t="shared" si="33"/>
        <v>0</v>
      </c>
      <c r="AA90" s="1056">
        <f t="shared" si="34"/>
        <v>1150000</v>
      </c>
      <c r="AB90" s="1056">
        <f t="shared" si="35"/>
        <v>0</v>
      </c>
      <c r="AC90" s="1056">
        <v>200000</v>
      </c>
      <c r="AD90" s="1056">
        <v>100000</v>
      </c>
      <c r="AE90" s="1056">
        <f t="shared" si="30"/>
        <v>1450000</v>
      </c>
      <c r="AF90" s="1203"/>
    </row>
    <row r="91" spans="1:157">
      <c r="A91" s="1056">
        <v>85</v>
      </c>
      <c r="B91" s="1056" t="s">
        <v>3124</v>
      </c>
      <c r="C91" s="1057" t="s">
        <v>3125</v>
      </c>
      <c r="D91" s="1056">
        <v>6600000</v>
      </c>
      <c r="E91" s="1056">
        <f t="shared" si="27"/>
        <v>0</v>
      </c>
      <c r="F91" s="1056">
        <f>D91+E91</f>
        <v>6600000</v>
      </c>
      <c r="G91" s="1056"/>
      <c r="H91" s="1056"/>
      <c r="I91" s="1056"/>
      <c r="J91" s="1056"/>
      <c r="K91" s="1056">
        <v>450000</v>
      </c>
      <c r="L91" s="1056">
        <v>400000</v>
      </c>
      <c r="M91" s="1056">
        <v>50000</v>
      </c>
      <c r="N91" s="1056"/>
      <c r="O91" s="1056"/>
      <c r="P91" s="1056"/>
      <c r="Q91" s="1056"/>
      <c r="R91" s="1150"/>
      <c r="S91" s="1753">
        <f>R91+(365*3)+2</f>
        <v>1097</v>
      </c>
      <c r="T91" s="1753"/>
      <c r="U91" s="1056">
        <f t="shared" si="31"/>
        <v>115.91506849315068</v>
      </c>
      <c r="V91" s="1198">
        <f t="shared" si="28"/>
        <v>463.66027397260274</v>
      </c>
      <c r="W91" s="1056">
        <f>K91*U91*8/100</f>
        <v>4172942.4657534249</v>
      </c>
      <c r="X91" s="1056"/>
      <c r="Y91" s="1128">
        <f t="shared" si="32"/>
        <v>61203156.16438356</v>
      </c>
      <c r="Z91" s="1128">
        <f t="shared" si="33"/>
        <v>0</v>
      </c>
      <c r="AA91" s="1056">
        <f t="shared" si="34"/>
        <v>6600000</v>
      </c>
      <c r="AB91" s="1056">
        <f t="shared" si="35"/>
        <v>0</v>
      </c>
      <c r="AC91" s="1056">
        <v>200000</v>
      </c>
      <c r="AD91" s="1056">
        <v>100000</v>
      </c>
      <c r="AE91" s="1056">
        <f t="shared" si="30"/>
        <v>6900000</v>
      </c>
      <c r="AF91" s="1203"/>
    </row>
    <row r="92" spans="1:157" ht="30">
      <c r="A92" s="1056">
        <v>86</v>
      </c>
      <c r="B92" s="1056" t="s">
        <v>3126</v>
      </c>
      <c r="C92" s="1057" t="s">
        <v>3127</v>
      </c>
      <c r="D92" s="1056">
        <v>7500000</v>
      </c>
      <c r="E92" s="1056">
        <f t="shared" si="27"/>
        <v>0</v>
      </c>
      <c r="F92" s="1056">
        <f>+D92+E92</f>
        <v>7500000</v>
      </c>
      <c r="G92" s="1056"/>
      <c r="H92" s="1056"/>
      <c r="I92" s="1056"/>
      <c r="J92" s="1056"/>
      <c r="K92" s="1056">
        <v>7500000</v>
      </c>
      <c r="L92" s="1056">
        <v>7500000</v>
      </c>
      <c r="M92" s="1056"/>
      <c r="N92" s="1056"/>
      <c r="O92" s="1056"/>
      <c r="P92" s="1056"/>
      <c r="Q92" s="1056"/>
      <c r="R92" s="1150">
        <v>41807</v>
      </c>
      <c r="S92" s="1753">
        <v>42903</v>
      </c>
      <c r="T92" s="1753"/>
      <c r="U92" s="1056">
        <f t="shared" si="31"/>
        <v>1.3780821917808219</v>
      </c>
      <c r="V92" s="1198">
        <f t="shared" si="28"/>
        <v>5.5123287671232877</v>
      </c>
      <c r="W92" s="1056"/>
      <c r="X92" s="1056"/>
      <c r="Y92" s="1128">
        <f t="shared" si="32"/>
        <v>826849.31506849313</v>
      </c>
      <c r="Z92" s="1128">
        <f t="shared" si="33"/>
        <v>0</v>
      </c>
      <c r="AA92" s="1056">
        <f t="shared" si="34"/>
        <v>7500000</v>
      </c>
      <c r="AB92" s="1056">
        <f t="shared" si="35"/>
        <v>0</v>
      </c>
      <c r="AC92" s="1056">
        <v>200000</v>
      </c>
      <c r="AD92" s="1056">
        <v>100000</v>
      </c>
      <c r="AE92" s="1056">
        <f t="shared" si="30"/>
        <v>7800000</v>
      </c>
      <c r="AF92" s="1203"/>
    </row>
    <row r="93" spans="1:157">
      <c r="A93" s="1056">
        <v>87</v>
      </c>
      <c r="B93" s="1056" t="s">
        <v>3128</v>
      </c>
      <c r="C93" s="1057" t="s">
        <v>3129</v>
      </c>
      <c r="D93" s="1056">
        <v>7500000</v>
      </c>
      <c r="E93" s="1056">
        <f t="shared" si="27"/>
        <v>0</v>
      </c>
      <c r="F93" s="1056">
        <f>+D93+E93</f>
        <v>7500000</v>
      </c>
      <c r="G93" s="1056"/>
      <c r="H93" s="1056"/>
      <c r="I93" s="1056"/>
      <c r="J93" s="1056"/>
      <c r="K93" s="1056">
        <v>7500000</v>
      </c>
      <c r="L93" s="1056">
        <v>7500000</v>
      </c>
      <c r="M93" s="1056"/>
      <c r="N93" s="1056"/>
      <c r="O93" s="1056"/>
      <c r="P93" s="1056"/>
      <c r="Q93" s="1056"/>
      <c r="R93" s="1150">
        <v>41807</v>
      </c>
      <c r="S93" s="1753">
        <v>42903</v>
      </c>
      <c r="T93" s="1753"/>
      <c r="U93" s="1056">
        <f t="shared" si="31"/>
        <v>1.3780821917808219</v>
      </c>
      <c r="V93" s="1198">
        <f t="shared" si="28"/>
        <v>5.5123287671232877</v>
      </c>
      <c r="W93" s="1056"/>
      <c r="X93" s="1056"/>
      <c r="Y93" s="1128">
        <f t="shared" si="32"/>
        <v>826849.31506849313</v>
      </c>
      <c r="Z93" s="1128">
        <f t="shared" si="33"/>
        <v>0</v>
      </c>
      <c r="AA93" s="1056">
        <f t="shared" si="34"/>
        <v>7500000</v>
      </c>
      <c r="AB93" s="1056">
        <f t="shared" si="35"/>
        <v>0</v>
      </c>
      <c r="AC93" s="1056">
        <v>200000</v>
      </c>
      <c r="AD93" s="1056">
        <v>100000</v>
      </c>
      <c r="AE93" s="1056">
        <f t="shared" si="30"/>
        <v>7800000</v>
      </c>
      <c r="AF93" s="1203"/>
    </row>
    <row r="94" spans="1:157" ht="30">
      <c r="A94" s="1056">
        <v>88</v>
      </c>
      <c r="B94" s="1056" t="s">
        <v>3130</v>
      </c>
      <c r="C94" s="1057" t="s">
        <v>3131</v>
      </c>
      <c r="D94" s="1056">
        <v>7000000</v>
      </c>
      <c r="E94" s="1056">
        <f t="shared" si="27"/>
        <v>0</v>
      </c>
      <c r="F94" s="1056">
        <f>+D94+E94</f>
        <v>7000000</v>
      </c>
      <c r="G94" s="1056"/>
      <c r="H94" s="1056"/>
      <c r="I94" s="1056"/>
      <c r="J94" s="1056"/>
      <c r="K94" s="1056">
        <v>7000000</v>
      </c>
      <c r="L94" s="1056">
        <v>7000000</v>
      </c>
      <c r="M94" s="1056"/>
      <c r="N94" s="1056"/>
      <c r="O94" s="1056"/>
      <c r="P94" s="1056"/>
      <c r="Q94" s="1056"/>
      <c r="R94" s="1150">
        <v>41807</v>
      </c>
      <c r="S94" s="1753">
        <v>42903</v>
      </c>
      <c r="T94" s="1753"/>
      <c r="U94" s="1056">
        <f t="shared" si="31"/>
        <v>1.3780821917808219</v>
      </c>
      <c r="V94" s="1198">
        <f t="shared" si="28"/>
        <v>5.5123287671232877</v>
      </c>
      <c r="W94" s="1056"/>
      <c r="X94" s="1056"/>
      <c r="Y94" s="1128">
        <f t="shared" si="32"/>
        <v>771726.0273972603</v>
      </c>
      <c r="Z94" s="1128">
        <f t="shared" si="33"/>
        <v>0</v>
      </c>
      <c r="AA94" s="1056">
        <f t="shared" si="34"/>
        <v>7000000</v>
      </c>
      <c r="AB94" s="1056">
        <f t="shared" si="35"/>
        <v>0</v>
      </c>
      <c r="AC94" s="1056">
        <v>200000</v>
      </c>
      <c r="AD94" s="1056">
        <v>100000</v>
      </c>
      <c r="AE94" s="1056">
        <f t="shared" si="30"/>
        <v>7300000</v>
      </c>
      <c r="AF94" s="1203"/>
    </row>
    <row r="95" spans="1:157" s="1124" customFormat="1" ht="30">
      <c r="A95" s="1053">
        <v>89</v>
      </c>
      <c r="B95" s="1187" t="s">
        <v>3132</v>
      </c>
      <c r="C95" s="1188" t="s">
        <v>3133</v>
      </c>
      <c r="D95" s="1187">
        <v>2200000</v>
      </c>
      <c r="E95" s="1053"/>
      <c r="F95" s="1187">
        <v>2200000</v>
      </c>
      <c r="G95" s="1187"/>
      <c r="H95" s="1053">
        <v>2200000</v>
      </c>
      <c r="I95" s="1053"/>
      <c r="J95" s="1053">
        <v>2200000</v>
      </c>
      <c r="K95" s="1053">
        <v>2200000</v>
      </c>
      <c r="L95" s="1053"/>
      <c r="M95" s="1053">
        <v>2200000</v>
      </c>
      <c r="N95" s="1053"/>
      <c r="O95" s="1053"/>
      <c r="P95" s="1053"/>
      <c r="Q95" s="1053"/>
      <c r="R95" s="1151">
        <v>41765</v>
      </c>
      <c r="S95" s="1754">
        <v>42861</v>
      </c>
      <c r="T95" s="1754"/>
      <c r="U95" s="1053">
        <f t="shared" si="31"/>
        <v>1.4931506849315068</v>
      </c>
      <c r="V95" s="1122">
        <f t="shared" si="28"/>
        <v>5.9726027397260273</v>
      </c>
      <c r="W95" s="1053"/>
      <c r="X95" s="1123"/>
      <c r="Y95" s="1123"/>
      <c r="Z95" s="1053"/>
      <c r="AA95" s="1053">
        <f t="shared" si="34"/>
        <v>2200000</v>
      </c>
      <c r="AB95" s="1053">
        <f t="shared" si="35"/>
        <v>2861519.3665020457</v>
      </c>
      <c r="AC95" s="1053">
        <v>200000</v>
      </c>
      <c r="AD95" s="1053">
        <v>100000</v>
      </c>
      <c r="AE95" s="1053">
        <f t="shared" si="30"/>
        <v>5361519.3665020457</v>
      </c>
      <c r="AF95" s="1205"/>
      <c r="AG95" s="1053"/>
      <c r="AH95" s="1189"/>
      <c r="AI95" s="1054"/>
      <c r="AJ95" s="1053"/>
      <c r="AK95" s="1053"/>
      <c r="AL95" s="1053"/>
      <c r="AM95" s="1053"/>
      <c r="AN95" s="1053"/>
      <c r="AO95" s="1053"/>
      <c r="AP95" s="1053"/>
      <c r="AQ95" s="1053"/>
      <c r="AR95" s="1053"/>
      <c r="AS95" s="1054"/>
      <c r="AT95" s="1186"/>
      <c r="AU95" s="1054"/>
      <c r="AV95" s="1053"/>
      <c r="AW95" s="1054"/>
      <c r="AX95" s="1190"/>
      <c r="AY95" s="1054"/>
      <c r="AZ95" s="1053"/>
      <c r="BA95" s="1053"/>
      <c r="BB95" s="1053"/>
      <c r="BC95" s="1053"/>
      <c r="BD95" s="1053"/>
      <c r="BE95" s="1053"/>
      <c r="BF95" s="1053"/>
      <c r="BG95" s="1053"/>
      <c r="BH95" s="1053"/>
      <c r="BI95" s="1053"/>
      <c r="BJ95" s="1151"/>
      <c r="BK95" s="1121"/>
      <c r="BL95" s="1121"/>
      <c r="BM95" s="1053"/>
      <c r="BN95" s="1122">
        <f>($X$1-BK95)/365*4</f>
        <v>475.68219178082194</v>
      </c>
      <c r="BO95" s="1053"/>
      <c r="BP95" s="1053"/>
      <c r="BQ95" s="1123">
        <f>$AJ95*8/100*$BM95</f>
        <v>0</v>
      </c>
      <c r="BR95" s="1123">
        <f>$AN95*8/100*$BM95</f>
        <v>0</v>
      </c>
      <c r="BS95" s="1053">
        <f>+AJ95+BR95</f>
        <v>0</v>
      </c>
      <c r="BW95" s="1124">
        <f>+AJ95+BT95+BU95+BV95</f>
        <v>0</v>
      </c>
    </row>
    <row r="96" spans="1:157" s="1124" customFormat="1" ht="30">
      <c r="A96" s="1053">
        <v>90</v>
      </c>
      <c r="B96" s="1187" t="s">
        <v>3134</v>
      </c>
      <c r="C96" s="1188" t="s">
        <v>3135</v>
      </c>
      <c r="D96" s="1187">
        <v>1664399</v>
      </c>
      <c r="E96" s="1053"/>
      <c r="F96" s="1187">
        <v>1664399</v>
      </c>
      <c r="G96" s="1053"/>
      <c r="H96" s="1187">
        <v>1664399</v>
      </c>
      <c r="I96" s="1053"/>
      <c r="J96" s="1187">
        <v>1664399</v>
      </c>
      <c r="K96" s="1187">
        <f>407185+407185+300000+550029</f>
        <v>1664399</v>
      </c>
      <c r="L96" s="1053"/>
      <c r="M96" s="1187">
        <f>407185+407185+300000+550029</f>
        <v>1664399</v>
      </c>
      <c r="N96" s="1053"/>
      <c r="O96" s="1053"/>
      <c r="P96" s="1053"/>
      <c r="Q96" s="1053"/>
      <c r="R96" s="1151">
        <v>41534</v>
      </c>
      <c r="S96" s="1754">
        <v>42630</v>
      </c>
      <c r="T96" s="1754"/>
      <c r="U96" s="1053">
        <f t="shared" si="31"/>
        <v>2.1260273972602741</v>
      </c>
      <c r="V96" s="1122">
        <f t="shared" si="28"/>
        <v>8.5041095890410965</v>
      </c>
      <c r="W96" s="1053"/>
      <c r="X96" s="1123">
        <f>$D96*8/100*$U96</f>
        <v>283084.62991780828</v>
      </c>
      <c r="Y96" s="1123">
        <f>$H96*8/100*$U96</f>
        <v>283084.62991780828</v>
      </c>
      <c r="Z96" s="1053">
        <f>+D96+Y96</f>
        <v>1947483.6299178083</v>
      </c>
      <c r="AA96" s="1053">
        <f t="shared" si="34"/>
        <v>3611882.6299178083</v>
      </c>
      <c r="AB96" s="1053">
        <f t="shared" si="35"/>
        <v>2420050.7588060452</v>
      </c>
      <c r="AC96" s="1053">
        <v>200000</v>
      </c>
      <c r="AD96" s="1053">
        <v>100000</v>
      </c>
      <c r="AE96" s="1053">
        <f t="shared" si="30"/>
        <v>4384449.7588060452</v>
      </c>
      <c r="AF96" s="1206"/>
      <c r="AG96" s="1208"/>
      <c r="AH96" s="1191"/>
      <c r="AI96" s="1192"/>
      <c r="AJ96" s="1192">
        <f>SUM(D2:D94)</f>
        <v>316273755</v>
      </c>
      <c r="AK96" s="1192">
        <f>SUM(E2:E94)</f>
        <v>1.5720504760977464E+16</v>
      </c>
      <c r="AL96" s="1192">
        <f>SUM(F2:F94)</f>
        <v>1.572050507177131E+16</v>
      </c>
      <c r="AM96" s="1192"/>
      <c r="AN96" s="1192" t="e">
        <f>SUM(H2:H94)</f>
        <v>#REF!</v>
      </c>
      <c r="AO96" s="1192">
        <f>SUM(I2:I91)</f>
        <v>13012701.416219177</v>
      </c>
      <c r="AP96" s="1192" t="e">
        <f>SUM(J2:J91)</f>
        <v>#REF!</v>
      </c>
      <c r="AQ96" s="1192"/>
      <c r="AR96" s="1192"/>
      <c r="AS96" s="1192"/>
      <c r="AT96" s="1193"/>
      <c r="AU96" s="1194"/>
      <c r="AV96" s="1194"/>
      <c r="AW96" s="1194"/>
      <c r="AX96" s="1195"/>
      <c r="AY96" s="1194"/>
      <c r="AZ96" s="1194">
        <f>+SUM(K2:K91)</f>
        <v>175928247</v>
      </c>
      <c r="BA96" s="1194">
        <f>+SUM(L2:L91)</f>
        <v>60352537</v>
      </c>
      <c r="BB96" s="1194" t="e">
        <f>+SUM(M2:M91)</f>
        <v>#VALUE!</v>
      </c>
      <c r="BC96" s="1194"/>
      <c r="BD96" s="1194"/>
      <c r="BE96" s="1194"/>
      <c r="BF96" s="1194"/>
      <c r="BG96" s="1194"/>
      <c r="BH96" s="1194"/>
      <c r="BI96" s="1194"/>
      <c r="BJ96" s="1194"/>
      <c r="BK96" s="1196"/>
      <c r="BL96" s="1196"/>
      <c r="BM96" s="1194"/>
      <c r="BN96" s="1197">
        <f>($X$1-BK96)/365*4</f>
        <v>475.68219178082194</v>
      </c>
      <c r="BO96" s="1194"/>
      <c r="BP96" s="1194"/>
      <c r="BQ96" s="1194"/>
      <c r="BR96" s="1194" t="e">
        <f>+SUM(Z2:Z95)</f>
        <v>#REF!</v>
      </c>
      <c r="BS96" s="1194" t="e">
        <f>+SUM(AA2:AA95)</f>
        <v>#REF!</v>
      </c>
    </row>
    <row r="97" spans="1:66" s="1050" customFormat="1" ht="30">
      <c r="A97" s="1050">
        <v>91</v>
      </c>
      <c r="B97" s="1050" t="s">
        <v>3136</v>
      </c>
      <c r="C97" s="1068" t="s">
        <v>3137</v>
      </c>
      <c r="D97" s="1050">
        <v>1860000</v>
      </c>
      <c r="F97" s="1154">
        <f>D97</f>
        <v>1860000</v>
      </c>
      <c r="G97" s="1050" t="s">
        <v>3197</v>
      </c>
      <c r="H97" s="1154">
        <v>1660000</v>
      </c>
      <c r="J97" s="1154">
        <v>1660000</v>
      </c>
      <c r="K97" s="1154">
        <f>350000+200000+260000+200000+750000+100000</f>
        <v>1860000</v>
      </c>
      <c r="L97" s="1050">
        <f>350000+750000</f>
        <v>1100000</v>
      </c>
      <c r="M97" s="1154">
        <f>K97-L97</f>
        <v>760000</v>
      </c>
      <c r="R97" s="1156">
        <v>41741</v>
      </c>
      <c r="S97" s="1755">
        <v>42837</v>
      </c>
      <c r="T97" s="1755"/>
      <c r="U97" s="1056">
        <f t="shared" si="31"/>
        <v>1.558904109589041</v>
      </c>
      <c r="V97" s="1122">
        <f t="shared" si="28"/>
        <v>6.2356164383561641</v>
      </c>
      <c r="X97" s="1123">
        <f>$D97*8/100*$U97</f>
        <v>231964.9315068493</v>
      </c>
      <c r="Y97" s="1123">
        <f>$H97*8/100*$U97</f>
        <v>207022.46575342465</v>
      </c>
      <c r="Z97" s="1053">
        <f>+D97+Y97</f>
        <v>2067022.4657534247</v>
      </c>
      <c r="AA97" s="1056">
        <f t="shared" si="34"/>
        <v>3927022.4657534249</v>
      </c>
      <c r="AB97" s="1050">
        <f t="shared" si="35"/>
        <v>2184288.2169387774</v>
      </c>
      <c r="AC97" s="1050">
        <v>200000</v>
      </c>
      <c r="AD97" s="1050">
        <v>100000</v>
      </c>
      <c r="AE97" s="1050">
        <f t="shared" si="30"/>
        <v>4344288.2169387769</v>
      </c>
      <c r="AF97" s="1207"/>
      <c r="AG97" s="1157"/>
      <c r="AH97" s="1184"/>
      <c r="AI97" s="1157"/>
      <c r="AJ97" s="1157"/>
      <c r="AK97" s="1157"/>
      <c r="AL97" s="1157"/>
      <c r="AM97" s="1157"/>
      <c r="AN97" s="1157"/>
      <c r="AO97" s="1157"/>
      <c r="AP97" s="1157"/>
      <c r="AQ97" s="1157"/>
      <c r="AR97" s="1157"/>
      <c r="AS97" s="1157"/>
      <c r="AT97" s="1158"/>
      <c r="AX97" s="1155"/>
      <c r="BK97" s="1108"/>
      <c r="BL97" s="1108"/>
      <c r="BN97" s="1110"/>
    </row>
    <row r="98" spans="1:66" ht="15.75">
      <c r="B98" s="1160"/>
      <c r="C98" s="1161"/>
      <c r="D98" s="1160"/>
      <c r="F98" s="1160"/>
      <c r="H98" s="1160"/>
      <c r="J98" s="1160"/>
      <c r="K98" s="1160"/>
      <c r="M98" s="1160"/>
      <c r="R98" s="1163"/>
      <c r="S98" s="1164"/>
      <c r="T98" s="1164"/>
      <c r="X98" s="1165"/>
      <c r="Y98" s="1166"/>
      <c r="AA98" s="1168"/>
      <c r="AF98" s="1169"/>
      <c r="AG98" s="1209"/>
      <c r="AH98" s="1170"/>
      <c r="AI98" s="1170"/>
      <c r="AJ98" s="1170"/>
      <c r="AK98" s="1170"/>
      <c r="AL98" s="1170"/>
      <c r="AM98" s="1170"/>
      <c r="AN98" s="1170"/>
      <c r="AO98" s="1170"/>
      <c r="AP98" s="1170"/>
      <c r="AQ98" s="1170"/>
      <c r="AR98" s="1170"/>
      <c r="AS98" s="1170"/>
      <c r="AT98" s="1171"/>
      <c r="AX98" s="1162"/>
      <c r="BK98" s="1172"/>
      <c r="BL98" s="1172"/>
      <c r="BN98" s="1173"/>
    </row>
    <row r="99" spans="1:66" ht="15.75" thickBot="1"/>
    <row r="100" spans="1:66">
      <c r="B100" s="1162"/>
      <c r="C100" s="1162"/>
      <c r="D100" s="1162"/>
      <c r="E100" s="1174"/>
      <c r="F100" s="1174"/>
      <c r="G100" s="1174"/>
      <c r="H100" s="1174"/>
      <c r="I100" s="1174"/>
      <c r="J100" s="1174"/>
      <c r="Y100" s="1129"/>
      <c r="Z100" s="1129"/>
      <c r="AA100" s="1129"/>
    </row>
    <row r="101" spans="1:66">
      <c r="B101" s="1162"/>
      <c r="C101" s="1162"/>
      <c r="D101" s="1162"/>
      <c r="E101" s="1162"/>
      <c r="F101" s="1162"/>
      <c r="G101" s="1162"/>
      <c r="H101" s="1162"/>
      <c r="I101" s="1162"/>
      <c r="J101" s="1162"/>
      <c r="Y101" s="1129"/>
      <c r="Z101" s="1129"/>
      <c r="AA101" s="1129"/>
    </row>
    <row r="102" spans="1:66">
      <c r="B102" s="1162"/>
      <c r="C102" s="1162"/>
      <c r="D102" s="1162"/>
      <c r="E102" s="1162"/>
      <c r="F102" s="1162"/>
      <c r="G102" s="1162"/>
      <c r="H102" s="1162"/>
      <c r="I102" s="1162"/>
      <c r="J102" s="1162"/>
      <c r="Y102" s="1129"/>
      <c r="Z102" s="1129"/>
      <c r="AA102" s="1129"/>
    </row>
    <row r="103" spans="1:66" ht="15.75" thickBot="1">
      <c r="B103" s="1162"/>
      <c r="C103" s="1162"/>
      <c r="D103" s="1162"/>
      <c r="E103" s="1175"/>
      <c r="F103" s="1175"/>
      <c r="G103" s="1175"/>
      <c r="H103" s="1175"/>
      <c r="I103" s="1175"/>
      <c r="J103" s="1175"/>
      <c r="Y103" s="1129"/>
      <c r="Z103" s="1129"/>
      <c r="AA103" s="1129"/>
    </row>
    <row r="104" spans="1:66">
      <c r="B104" s="1177"/>
      <c r="C104" s="1177"/>
      <c r="D104" s="1177"/>
      <c r="E104" s="1176"/>
      <c r="F104" s="1176"/>
      <c r="G104" s="1177"/>
      <c r="H104" s="1177"/>
      <c r="I104" s="1177"/>
      <c r="J104" s="1177"/>
      <c r="Y104" s="1129"/>
      <c r="Z104" s="1129"/>
      <c r="AA104" s="1129"/>
    </row>
    <row r="105" spans="1:66">
      <c r="B105" s="1178"/>
      <c r="C105" s="1178"/>
      <c r="D105" s="1178"/>
      <c r="E105" s="1178"/>
      <c r="Y105" s="1129"/>
      <c r="Z105" s="1129"/>
      <c r="AA105" s="1129"/>
    </row>
    <row r="106" spans="1:66">
      <c r="Y106" s="1129"/>
      <c r="Z106" s="1129"/>
      <c r="AA106" s="1129"/>
    </row>
    <row r="107" spans="1:66">
      <c r="Y107" s="1129"/>
      <c r="Z107" s="1129"/>
      <c r="AA107" s="1129"/>
    </row>
    <row r="108" spans="1:66">
      <c r="Y108" s="1129"/>
      <c r="Z108" s="1129"/>
      <c r="AA108" s="1129"/>
    </row>
    <row r="109" spans="1:66">
      <c r="Y109" s="1129"/>
      <c r="Z109" s="1129"/>
      <c r="AA109" s="1129"/>
    </row>
    <row r="110" spans="1:66">
      <c r="Y110" s="1129"/>
      <c r="Z110" s="1129"/>
      <c r="AA110" s="1129"/>
    </row>
    <row r="111" spans="1:66">
      <c r="Y111" s="1129"/>
      <c r="Z111" s="1129"/>
      <c r="AA111" s="1129"/>
    </row>
    <row r="112" spans="1:66">
      <c r="Y112" s="1129"/>
      <c r="Z112" s="1129"/>
      <c r="AA112" s="1129"/>
    </row>
    <row r="113" spans="1:27">
      <c r="Y113" s="1129"/>
      <c r="Z113" s="1129"/>
      <c r="AA113" s="1129"/>
    </row>
    <row r="114" spans="1:27">
      <c r="Y114" s="1129"/>
      <c r="Z114" s="1129"/>
      <c r="AA114" s="1129"/>
    </row>
    <row r="115" spans="1:27">
      <c r="Y115" s="1129"/>
      <c r="Z115" s="1129"/>
      <c r="AA115" s="1129"/>
    </row>
    <row r="116" spans="1:27">
      <c r="Y116" s="1129"/>
      <c r="Z116" s="1129"/>
      <c r="AA116" s="1129"/>
    </row>
    <row r="117" spans="1:27">
      <c r="Y117" s="1129"/>
      <c r="Z117" s="1129"/>
      <c r="AA117" s="1129"/>
    </row>
    <row r="118" spans="1:27">
      <c r="Y118" s="1129"/>
      <c r="Z118" s="1129"/>
      <c r="AA118" s="1129"/>
    </row>
    <row r="119" spans="1:27">
      <c r="A119" s="1129"/>
      <c r="B119" s="1179"/>
      <c r="Y119" s="1129"/>
      <c r="Z119" s="1129"/>
      <c r="AA119" s="1129"/>
    </row>
    <row r="120" spans="1:27" ht="15.75">
      <c r="A120" s="1129"/>
      <c r="B120" s="1180"/>
      <c r="Y120" s="1129"/>
      <c r="Z120" s="1129"/>
      <c r="AA120" s="1129"/>
    </row>
    <row r="121" spans="1:27" ht="15.75">
      <c r="A121" s="1129"/>
      <c r="B121" s="1180"/>
      <c r="Y121" s="1129"/>
      <c r="Z121" s="1129"/>
      <c r="AA121" s="1129"/>
    </row>
    <row r="122" spans="1:27">
      <c r="A122" s="1129"/>
      <c r="B122" s="1181"/>
      <c r="C122" s="1182"/>
      <c r="Y122" s="1129"/>
      <c r="Z122" s="1129"/>
      <c r="AA122" s="1129"/>
    </row>
    <row r="123" spans="1:27">
      <c r="A123" s="1129"/>
      <c r="B123" s="1181"/>
      <c r="C123" s="1182"/>
      <c r="Y123" s="1129"/>
      <c r="Z123" s="1129"/>
      <c r="AA123" s="1129"/>
    </row>
    <row r="124" spans="1:27">
      <c r="A124" s="1129"/>
      <c r="B124" s="1183"/>
      <c r="C124" s="1182"/>
      <c r="Y124" s="1129"/>
      <c r="Z124" s="1129"/>
      <c r="AA124" s="1129"/>
    </row>
    <row r="125" spans="1:27">
      <c r="A125" s="1129"/>
      <c r="B125" s="1179"/>
      <c r="C125" s="1129">
        <f>SUM(C122:C124)</f>
        <v>0</v>
      </c>
      <c r="Y125" s="1129"/>
      <c r="Z125" s="1129"/>
      <c r="AA125" s="1129"/>
    </row>
    <row r="126" spans="1:27">
      <c r="A126" s="1129"/>
      <c r="B126" s="1129">
        <f>SUM(B122:B125)</f>
        <v>0</v>
      </c>
      <c r="Y126" s="1129"/>
      <c r="Z126" s="1129"/>
      <c r="AA126" s="1129"/>
    </row>
    <row r="127" spans="1:27">
      <c r="Y127" s="1129"/>
      <c r="Z127" s="1129"/>
      <c r="AA127" s="1129"/>
    </row>
    <row r="128" spans="1:27">
      <c r="Y128" s="1129"/>
      <c r="Z128" s="1129"/>
      <c r="AA128" s="1129"/>
    </row>
  </sheetData>
  <mergeCells count="103">
    <mergeCell ref="S1:T1"/>
    <mergeCell ref="S2:T2"/>
    <mergeCell ref="S3:T3"/>
    <mergeCell ref="S4:T4"/>
    <mergeCell ref="S5:T5"/>
    <mergeCell ref="S6:T6"/>
    <mergeCell ref="S13:T13"/>
    <mergeCell ref="S14:T14"/>
    <mergeCell ref="S15:T15"/>
    <mergeCell ref="S16:T16"/>
    <mergeCell ref="S17:T17"/>
    <mergeCell ref="S18:T18"/>
    <mergeCell ref="S7:T7"/>
    <mergeCell ref="S8:T8"/>
    <mergeCell ref="S9:T9"/>
    <mergeCell ref="S10:T10"/>
    <mergeCell ref="S11:T11"/>
    <mergeCell ref="S12:T12"/>
    <mergeCell ref="S25:T25"/>
    <mergeCell ref="S26:T26"/>
    <mergeCell ref="S27:T27"/>
    <mergeCell ref="S28:T28"/>
    <mergeCell ref="S29:T29"/>
    <mergeCell ref="S30:T30"/>
    <mergeCell ref="S19:T19"/>
    <mergeCell ref="S20:T20"/>
    <mergeCell ref="S21:T21"/>
    <mergeCell ref="S22:T22"/>
    <mergeCell ref="S23:T23"/>
    <mergeCell ref="S24:T24"/>
    <mergeCell ref="S37:T37"/>
    <mergeCell ref="S38:T38"/>
    <mergeCell ref="S39:T39"/>
    <mergeCell ref="S40:T40"/>
    <mergeCell ref="S41:T41"/>
    <mergeCell ref="S42:T42"/>
    <mergeCell ref="S31:T31"/>
    <mergeCell ref="S32:T32"/>
    <mergeCell ref="S33:T33"/>
    <mergeCell ref="S34:T34"/>
    <mergeCell ref="S35:T35"/>
    <mergeCell ref="S36:T36"/>
    <mergeCell ref="S49:T49"/>
    <mergeCell ref="S50:T50"/>
    <mergeCell ref="S51:T51"/>
    <mergeCell ref="A52:A53"/>
    <mergeCell ref="B52:B53"/>
    <mergeCell ref="C52:C53"/>
    <mergeCell ref="S43:T43"/>
    <mergeCell ref="S44:T44"/>
    <mergeCell ref="S45:T45"/>
    <mergeCell ref="S46:T46"/>
    <mergeCell ref="S47:T47"/>
    <mergeCell ref="S48:T48"/>
    <mergeCell ref="S54:T54"/>
    <mergeCell ref="S55:T55"/>
    <mergeCell ref="S56:T56"/>
    <mergeCell ref="S57:T57"/>
    <mergeCell ref="S58:T58"/>
    <mergeCell ref="S59:T59"/>
    <mergeCell ref="G52:G53"/>
    <mergeCell ref="D52:D53"/>
    <mergeCell ref="F52:F53"/>
    <mergeCell ref="S52:T52"/>
    <mergeCell ref="S53:T53"/>
    <mergeCell ref="S66:T66"/>
    <mergeCell ref="S67:T67"/>
    <mergeCell ref="S68:T68"/>
    <mergeCell ref="S69:T69"/>
    <mergeCell ref="S70:T70"/>
    <mergeCell ref="S71:T71"/>
    <mergeCell ref="S60:T60"/>
    <mergeCell ref="S61:T61"/>
    <mergeCell ref="S62:T62"/>
    <mergeCell ref="S63:T63"/>
    <mergeCell ref="S64:T64"/>
    <mergeCell ref="S65:T65"/>
    <mergeCell ref="S78:T78"/>
    <mergeCell ref="S79:T79"/>
    <mergeCell ref="S80:T80"/>
    <mergeCell ref="S81:T81"/>
    <mergeCell ref="S82:T82"/>
    <mergeCell ref="S83:T83"/>
    <mergeCell ref="S72:T72"/>
    <mergeCell ref="S73:T73"/>
    <mergeCell ref="S74:T74"/>
    <mergeCell ref="S75:T75"/>
    <mergeCell ref="S76:T76"/>
    <mergeCell ref="S77:T77"/>
    <mergeCell ref="S89:T89"/>
    <mergeCell ref="S84:T84"/>
    <mergeCell ref="S85:T85"/>
    <mergeCell ref="S86:T86"/>
    <mergeCell ref="S87:T87"/>
    <mergeCell ref="S88:T88"/>
    <mergeCell ref="S96:T96"/>
    <mergeCell ref="S97:T97"/>
    <mergeCell ref="S90:T90"/>
    <mergeCell ref="S91:T91"/>
    <mergeCell ref="S92:T92"/>
    <mergeCell ref="S93:T93"/>
    <mergeCell ref="S94:T94"/>
    <mergeCell ref="S95:T95"/>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C25"/>
  <sheetViews>
    <sheetView workbookViewId="0">
      <selection activeCell="E20" sqref="E20"/>
    </sheetView>
  </sheetViews>
  <sheetFormatPr defaultRowHeight="15"/>
  <cols>
    <col min="1" max="1" width="101" customWidth="1"/>
    <col min="2" max="2" width="13.42578125" hidden="1" customWidth="1"/>
    <col min="3" max="3" width="18.140625" customWidth="1"/>
  </cols>
  <sheetData>
    <row r="1" spans="1:3" s="394" customFormat="1" ht="23.25">
      <c r="A1" s="674" t="s">
        <v>2409</v>
      </c>
      <c r="B1" s="673"/>
      <c r="C1" s="673"/>
    </row>
    <row r="2" spans="1:3" ht="27.75" customHeight="1">
      <c r="A2" s="375" t="s">
        <v>400</v>
      </c>
      <c r="B2" s="375" t="s">
        <v>191</v>
      </c>
      <c r="C2" s="376" t="s">
        <v>371</v>
      </c>
    </row>
    <row r="3" spans="1:3" ht="30" customHeight="1">
      <c r="A3" s="491" t="s">
        <v>1668</v>
      </c>
      <c r="B3" s="493" t="s">
        <v>373</v>
      </c>
      <c r="C3" s="494" t="s">
        <v>374</v>
      </c>
    </row>
    <row r="4" spans="1:3" ht="30" customHeight="1">
      <c r="A4" s="491" t="s">
        <v>1669</v>
      </c>
      <c r="B4" s="495" t="s">
        <v>375</v>
      </c>
      <c r="C4" s="497" t="s">
        <v>374</v>
      </c>
    </row>
    <row r="5" spans="1:3" ht="30" customHeight="1">
      <c r="A5" s="542" t="s">
        <v>1670</v>
      </c>
      <c r="B5" s="493" t="s">
        <v>376</v>
      </c>
      <c r="C5" s="528" t="s">
        <v>374</v>
      </c>
    </row>
    <row r="6" spans="1:3" ht="30" customHeight="1">
      <c r="A6" s="491" t="s">
        <v>1671</v>
      </c>
      <c r="B6" s="493" t="s">
        <v>377</v>
      </c>
      <c r="C6" s="528" t="s">
        <v>374</v>
      </c>
    </row>
    <row r="7" spans="1:3" ht="46.5" customHeight="1">
      <c r="A7" s="491" t="s">
        <v>1672</v>
      </c>
      <c r="B7" s="493" t="s">
        <v>378</v>
      </c>
      <c r="C7" s="497" t="s">
        <v>374</v>
      </c>
    </row>
    <row r="8" spans="1:3" ht="82.5" customHeight="1">
      <c r="A8" s="542" t="s">
        <v>1673</v>
      </c>
      <c r="B8" s="493" t="s">
        <v>375</v>
      </c>
      <c r="C8" s="497" t="s">
        <v>374</v>
      </c>
    </row>
    <row r="9" spans="1:3" ht="30" customHeight="1">
      <c r="A9" s="492" t="s">
        <v>1674</v>
      </c>
      <c r="B9" s="493" t="s">
        <v>379</v>
      </c>
      <c r="C9" s="497" t="s">
        <v>374</v>
      </c>
    </row>
    <row r="10" spans="1:3" ht="30" customHeight="1">
      <c r="A10" s="491" t="s">
        <v>1675</v>
      </c>
      <c r="B10" s="493" t="s">
        <v>380</v>
      </c>
      <c r="C10" s="497" t="s">
        <v>374</v>
      </c>
    </row>
    <row r="11" spans="1:3" ht="30" customHeight="1">
      <c r="A11" s="542" t="s">
        <v>1676</v>
      </c>
      <c r="B11" s="493" t="s">
        <v>375</v>
      </c>
      <c r="C11" s="497" t="s">
        <v>374</v>
      </c>
    </row>
    <row r="12" spans="1:3" ht="75.75" customHeight="1">
      <c r="A12" s="491" t="s">
        <v>1677</v>
      </c>
      <c r="B12" s="493" t="s">
        <v>375</v>
      </c>
      <c r="C12" s="497" t="s">
        <v>374</v>
      </c>
    </row>
    <row r="13" spans="1:3" ht="45" customHeight="1">
      <c r="A13" s="491" t="s">
        <v>1678</v>
      </c>
      <c r="B13" s="493" t="s">
        <v>375</v>
      </c>
      <c r="C13" s="497" t="s">
        <v>374</v>
      </c>
    </row>
    <row r="14" spans="1:3" ht="45.75" customHeight="1">
      <c r="A14" s="491" t="s">
        <v>1679</v>
      </c>
      <c r="B14" s="493" t="s">
        <v>375</v>
      </c>
      <c r="C14" s="497" t="s">
        <v>374</v>
      </c>
    </row>
    <row r="15" spans="1:3" ht="46.5" customHeight="1">
      <c r="A15" s="491" t="s">
        <v>1680</v>
      </c>
      <c r="B15" s="493" t="s">
        <v>375</v>
      </c>
      <c r="C15" s="496" t="s">
        <v>374</v>
      </c>
    </row>
    <row r="16" spans="1:3" ht="20.25" customHeight="1">
      <c r="A16" s="543" t="s">
        <v>1681</v>
      </c>
      <c r="B16" s="493" t="s">
        <v>375</v>
      </c>
      <c r="C16" s="497" t="s">
        <v>374</v>
      </c>
    </row>
    <row r="17" spans="1:3" ht="52.5" customHeight="1">
      <c r="A17" s="542" t="s">
        <v>1682</v>
      </c>
      <c r="B17" s="493" t="s">
        <v>375</v>
      </c>
      <c r="C17" s="495" t="s">
        <v>374</v>
      </c>
    </row>
    <row r="18" spans="1:3" ht="47.25" customHeight="1">
      <c r="A18" s="544" t="s">
        <v>1683</v>
      </c>
      <c r="B18" s="493" t="s">
        <v>375</v>
      </c>
      <c r="C18" s="495" t="s">
        <v>374</v>
      </c>
    </row>
    <row r="19" spans="1:3" ht="44.25" customHeight="1">
      <c r="A19" s="542" t="s">
        <v>1684</v>
      </c>
      <c r="B19" s="493" t="s">
        <v>381</v>
      </c>
      <c r="C19" s="497" t="s">
        <v>374</v>
      </c>
    </row>
    <row r="20" spans="1:3" ht="54.75" customHeight="1">
      <c r="A20" s="542" t="s">
        <v>1685</v>
      </c>
      <c r="B20" s="493" t="s">
        <v>381</v>
      </c>
      <c r="C20" s="497" t="s">
        <v>374</v>
      </c>
    </row>
    <row r="21" spans="1:3" ht="32.25" customHeight="1">
      <c r="A21" s="542" t="s">
        <v>1686</v>
      </c>
      <c r="B21" s="493" t="s">
        <v>382</v>
      </c>
      <c r="C21" s="497" t="s">
        <v>374</v>
      </c>
    </row>
    <row r="22" spans="1:3" ht="30" customHeight="1">
      <c r="A22" s="491" t="s">
        <v>1687</v>
      </c>
      <c r="B22" s="493" t="s">
        <v>373</v>
      </c>
      <c r="C22" s="672" t="s">
        <v>383</v>
      </c>
    </row>
    <row r="23" spans="1:3" ht="30" customHeight="1">
      <c r="A23" s="364" t="s">
        <v>395</v>
      </c>
      <c r="B23" s="363"/>
      <c r="C23" s="497" t="s">
        <v>374</v>
      </c>
    </row>
    <row r="24" spans="1:3" ht="30" customHeight="1">
      <c r="A24" s="670" t="s">
        <v>396</v>
      </c>
      <c r="B24" s="671"/>
      <c r="C24" s="671"/>
    </row>
    <row r="25" spans="1:3">
      <c r="A25" s="365" t="s">
        <v>397</v>
      </c>
      <c r="B25" s="498"/>
      <c r="C25" s="497" t="s">
        <v>374</v>
      </c>
    </row>
  </sheetData>
  <conditionalFormatting sqref="A3:A25">
    <cfRule type="duplicateValues" dxfId="2" priority="1"/>
  </conditionalFormatting>
  <pageMargins left="0.97" right="0.7" top="0.75" bottom="0.32" header="0.3" footer="0.3"/>
  <pageSetup paperSize="5" scale="73" orientation="portrait" r:id="rId1"/>
</worksheet>
</file>

<file path=xl/worksheets/sheet50.xml><?xml version="1.0" encoding="utf-8"?>
<worksheet xmlns="http://schemas.openxmlformats.org/spreadsheetml/2006/main" xmlns:r="http://schemas.openxmlformats.org/officeDocument/2006/relationships">
  <dimension ref="A1:EZ311"/>
  <sheetViews>
    <sheetView workbookViewId="0">
      <selection activeCell="AB8" sqref="AB8"/>
    </sheetView>
  </sheetViews>
  <sheetFormatPr defaultColWidth="9.140625" defaultRowHeight="15"/>
  <cols>
    <col min="1" max="1" width="6.28515625" style="1159" customWidth="1"/>
    <col min="2" max="2" width="57.28515625" style="1129" bestFit="1" customWidth="1"/>
    <col min="3" max="3" width="39.28515625" style="1129" customWidth="1"/>
    <col min="4" max="4" width="21" style="1129" customWidth="1"/>
    <col min="5" max="5" width="17" style="1129" hidden="1" customWidth="1"/>
    <col min="6" max="10" width="16.5703125" style="1129" hidden="1" customWidth="1"/>
    <col min="11" max="11" width="20.85546875" style="1129" hidden="1" customWidth="1"/>
    <col min="12" max="14" width="17" style="1129" hidden="1" customWidth="1"/>
    <col min="15" max="15" width="12.7109375" style="1129" hidden="1" customWidth="1"/>
    <col min="16" max="16" width="17.85546875" style="1129" hidden="1" customWidth="1"/>
    <col min="17" max="17" width="15.5703125" style="1129" hidden="1" customWidth="1"/>
    <col min="18" max="18" width="13.7109375" style="1129" hidden="1" customWidth="1"/>
    <col min="19" max="19" width="9.140625" style="1172" hidden="1" customWidth="1"/>
    <col min="20" max="20" width="12.28515625" style="1172" hidden="1" customWidth="1"/>
    <col min="21" max="22" width="11.85546875" style="1129" hidden="1" customWidth="1"/>
    <col min="23" max="23" width="11.5703125" style="1129" hidden="1" customWidth="1"/>
    <col min="24" max="24" width="13.28515625" style="1129" hidden="1" customWidth="1"/>
    <col min="25" max="26" width="13.28515625" style="1167" hidden="1" customWidth="1"/>
    <col min="27" max="27" width="16.42578125" style="1056" hidden="1" customWidth="1"/>
    <col min="28" max="28" width="15.140625" style="1129" customWidth="1"/>
    <col min="29" max="30" width="16.28515625" style="1124" customWidth="1"/>
    <col min="31" max="31" width="19.85546875" style="1129" customWidth="1"/>
    <col min="32" max="32" width="18.7109375" style="1203" customWidth="1"/>
    <col min="33" max="16384" width="9.140625" style="1129"/>
  </cols>
  <sheetData>
    <row r="1" spans="1:59" s="1105" customFormat="1" ht="90">
      <c r="A1" s="1215" t="s">
        <v>2868</v>
      </c>
      <c r="B1" s="1216" t="s">
        <v>2925</v>
      </c>
      <c r="C1" s="1216" t="s">
        <v>2408</v>
      </c>
      <c r="D1" s="1217" t="s">
        <v>3198</v>
      </c>
      <c r="E1" s="1218" t="s">
        <v>3141</v>
      </c>
      <c r="F1" s="1218" t="s">
        <v>3142</v>
      </c>
      <c r="G1" s="1219" t="s">
        <v>3143</v>
      </c>
      <c r="H1" s="1219" t="s">
        <v>3144</v>
      </c>
      <c r="I1" s="1219" t="s">
        <v>3145</v>
      </c>
      <c r="J1" s="1219" t="s">
        <v>3146</v>
      </c>
      <c r="K1" s="1219" t="s">
        <v>3147</v>
      </c>
      <c r="L1" s="1219" t="s">
        <v>3148</v>
      </c>
      <c r="M1" s="1219" t="s">
        <v>3149</v>
      </c>
      <c r="N1" s="1219" t="s">
        <v>3150</v>
      </c>
      <c r="O1" s="1219" t="s">
        <v>3151</v>
      </c>
      <c r="P1" s="1219" t="s">
        <v>3152</v>
      </c>
      <c r="Q1" s="1219" t="s">
        <v>3153</v>
      </c>
      <c r="R1" s="1219" t="s">
        <v>3154</v>
      </c>
      <c r="S1" s="1761" t="s">
        <v>3155</v>
      </c>
      <c r="T1" s="1761"/>
      <c r="U1" s="1219" t="s">
        <v>3156</v>
      </c>
      <c r="V1" s="1219" t="s">
        <v>3157</v>
      </c>
      <c r="W1" s="1219" t="s">
        <v>3158</v>
      </c>
      <c r="X1" s="1220">
        <v>43406</v>
      </c>
      <c r="Y1" s="1221" t="s">
        <v>3159</v>
      </c>
      <c r="Z1" s="1221" t="s">
        <v>3160</v>
      </c>
      <c r="AA1" s="1222" t="s">
        <v>3161</v>
      </c>
      <c r="AB1" s="1217" t="s">
        <v>3199</v>
      </c>
      <c r="AC1" s="1217" t="s">
        <v>3163</v>
      </c>
      <c r="AD1" s="1217" t="s">
        <v>3203</v>
      </c>
      <c r="AE1" s="1223" t="s">
        <v>3202</v>
      </c>
      <c r="AF1" s="1224" t="s">
        <v>3200</v>
      </c>
      <c r="AG1" s="1213"/>
      <c r="AH1" s="1213"/>
      <c r="AI1" s="1213"/>
      <c r="AJ1" s="1213"/>
      <c r="AK1" s="1213"/>
      <c r="AL1" s="1213"/>
      <c r="AM1" s="1213"/>
      <c r="AN1" s="1213"/>
      <c r="AO1" s="1213"/>
      <c r="AP1" s="1213"/>
      <c r="AQ1" s="1213"/>
      <c r="AR1" s="1213"/>
      <c r="AS1" s="1213"/>
      <c r="AT1" s="1213"/>
      <c r="AU1" s="1213"/>
      <c r="AV1" s="1213"/>
      <c r="AW1" s="1213"/>
      <c r="AX1" s="1213"/>
      <c r="AY1" s="1213"/>
      <c r="AZ1" s="1213"/>
      <c r="BA1" s="1213"/>
      <c r="BB1" s="1213"/>
      <c r="BC1" s="1213"/>
      <c r="BD1" s="1213"/>
      <c r="BE1" s="1213"/>
      <c r="BF1" s="1213"/>
      <c r="BG1" s="1213"/>
    </row>
    <row r="2" spans="1:59" s="1112" customFormat="1" ht="30">
      <c r="A2" s="1225">
        <v>1</v>
      </c>
      <c r="B2" s="1050" t="s">
        <v>2979</v>
      </c>
      <c r="C2" s="1051" t="s">
        <v>2980</v>
      </c>
      <c r="D2" s="1050">
        <v>5384200</v>
      </c>
      <c r="E2" s="1050">
        <f>+AB2</f>
        <v>6821538.7951982375</v>
      </c>
      <c r="F2" s="1050">
        <f>D2+E2</f>
        <v>12205738.795198238</v>
      </c>
      <c r="G2" s="1050">
        <v>5384200</v>
      </c>
      <c r="H2" s="1050">
        <v>4400000</v>
      </c>
      <c r="I2" s="1050"/>
      <c r="J2" s="1050">
        <f>+H2+I2</f>
        <v>4400000</v>
      </c>
      <c r="K2" s="1107">
        <f>+L2+M2</f>
        <v>4407200</v>
      </c>
      <c r="L2" s="1107">
        <f>450000+50000+400000+7200+800000+600000+150000</f>
        <v>2457200</v>
      </c>
      <c r="M2" s="1107">
        <f>950000+400000+100000+500000</f>
        <v>1950000</v>
      </c>
      <c r="N2" s="1107"/>
      <c r="O2" s="1050" t="s">
        <v>3165</v>
      </c>
      <c r="P2" s="1050"/>
      <c r="Q2" s="1050"/>
      <c r="R2" s="1108">
        <v>41400</v>
      </c>
      <c r="S2" s="1755">
        <f>+R2+(365*3)+2</f>
        <v>42497</v>
      </c>
      <c r="T2" s="1755"/>
      <c r="U2" s="1109">
        <f>($X$1-S2)/365</f>
        <v>2.4904109589041097</v>
      </c>
      <c r="V2" s="1110">
        <f>($X$1-S2)/365*4</f>
        <v>9.9616438356164387</v>
      </c>
      <c r="W2" s="1111">
        <v>0</v>
      </c>
      <c r="X2" s="1111">
        <f>$K$2*$U$2*18/100</f>
        <v>1975633.0520547947</v>
      </c>
      <c r="Y2" s="1111">
        <f>$D2*8/100*$U2</f>
        <v>1072709.6547945207</v>
      </c>
      <c r="Z2" s="1111">
        <f>$H2*8/100*$U2</f>
        <v>876624.65753424657</v>
      </c>
      <c r="AA2" s="1050">
        <f>+D2+Z2</f>
        <v>6260824.6575342463</v>
      </c>
      <c r="AB2" s="1050">
        <f>+H2*(1+18%/4)^V2</f>
        <v>6821538.7951982375</v>
      </c>
      <c r="AC2" s="1050">
        <f>+D2+AB2</f>
        <v>12205738.795198238</v>
      </c>
      <c r="AD2" s="1200">
        <v>4400000</v>
      </c>
      <c r="AE2" s="1200">
        <f>+AD2+AB2</f>
        <v>11221538.795198238</v>
      </c>
      <c r="AF2" s="1226">
        <f>+D2-AD2</f>
        <v>984200</v>
      </c>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row>
    <row r="3" spans="1:59" s="1112" customFormat="1" ht="60">
      <c r="A3" s="1225">
        <v>2</v>
      </c>
      <c r="B3" s="1050" t="s">
        <v>2981</v>
      </c>
      <c r="C3" s="1051" t="s">
        <v>2982</v>
      </c>
      <c r="D3" s="1050">
        <v>5096000</v>
      </c>
      <c r="E3" s="1050">
        <f>+AB3</f>
        <v>6776095.5774447322</v>
      </c>
      <c r="F3" s="1050">
        <f>D3+E3</f>
        <v>11872095.577444732</v>
      </c>
      <c r="G3" s="1050">
        <v>5096000</v>
      </c>
      <c r="H3" s="1050">
        <f>1800000+Q3</f>
        <v>3760000</v>
      </c>
      <c r="I3" s="1050"/>
      <c r="J3" s="1050"/>
      <c r="K3" s="1107">
        <f>1100000+100000+600000</f>
        <v>1800000</v>
      </c>
      <c r="L3" s="1106">
        <v>0</v>
      </c>
      <c r="M3" s="1107">
        <f>+K3-L3</f>
        <v>1800000</v>
      </c>
      <c r="N3" s="1107">
        <v>3800000</v>
      </c>
      <c r="O3" s="1051" t="s">
        <v>3166</v>
      </c>
      <c r="P3" s="1050"/>
      <c r="Q3" s="1050">
        <v>1960000</v>
      </c>
      <c r="R3" s="1108">
        <v>41614</v>
      </c>
      <c r="S3" s="1760" t="s">
        <v>3167</v>
      </c>
      <c r="T3" s="1760"/>
      <c r="U3" s="1109">
        <f>1221/365</f>
        <v>3.3452054794520549</v>
      </c>
      <c r="V3" s="1110" t="e">
        <f>($X$1-S3)/365*4</f>
        <v>#VALUE!</v>
      </c>
      <c r="W3" s="1111">
        <v>0</v>
      </c>
      <c r="X3" s="1111">
        <f>$K$3*$U$3*18/100</f>
        <v>1083846.5753424659</v>
      </c>
      <c r="Y3" s="1111">
        <f>$D3*8/100*$U3</f>
        <v>1363773.3698630137</v>
      </c>
      <c r="Z3" s="1111">
        <f>$H3*8/100*$U3</f>
        <v>1006237.8082191781</v>
      </c>
      <c r="AA3" s="1050">
        <f>+D3+Z3</f>
        <v>6102237.8082191776</v>
      </c>
      <c r="AB3" s="1050">
        <v>6776095.5774447322</v>
      </c>
      <c r="AC3" s="1050">
        <f t="shared" ref="AC3:AC61" si="0">+D3+AB3</f>
        <v>11872095.577444732</v>
      </c>
      <c r="AD3" s="1200">
        <v>3760000</v>
      </c>
      <c r="AE3" s="1200">
        <f t="shared" ref="AE3:AE66" si="1">+AD3+AB3</f>
        <v>10536095.577444732</v>
      </c>
      <c r="AF3" s="1226">
        <f t="shared" ref="AF3:AF66" si="2">+D3-AD3</f>
        <v>1336000</v>
      </c>
      <c r="AG3" s="1129"/>
      <c r="AH3" s="1129"/>
      <c r="AI3" s="1129"/>
      <c r="AJ3" s="1129"/>
      <c r="AK3" s="1129"/>
      <c r="AL3" s="1129"/>
      <c r="AM3" s="1129"/>
      <c r="AN3" s="1129"/>
      <c r="AO3" s="1129"/>
      <c r="AP3" s="1129"/>
      <c r="AQ3" s="1129"/>
      <c r="AR3" s="1129"/>
      <c r="AS3" s="1129"/>
      <c r="AT3" s="1129"/>
      <c r="AU3" s="1129"/>
      <c r="AV3" s="1129"/>
      <c r="AW3" s="1129"/>
      <c r="AX3" s="1129"/>
      <c r="AY3" s="1129"/>
      <c r="AZ3" s="1129"/>
      <c r="BA3" s="1129"/>
      <c r="BB3" s="1129"/>
      <c r="BC3" s="1129"/>
      <c r="BD3" s="1129"/>
      <c r="BE3" s="1129"/>
      <c r="BF3" s="1129"/>
      <c r="BG3" s="1129"/>
    </row>
    <row r="4" spans="1:59" s="1117" customFormat="1">
      <c r="A4" s="1227">
        <v>3</v>
      </c>
      <c r="B4" s="1052" t="s">
        <v>2983</v>
      </c>
      <c r="C4" s="1052" t="s">
        <v>2984</v>
      </c>
      <c r="D4" s="1052">
        <v>2544670</v>
      </c>
      <c r="E4" s="1052">
        <f>+AB4</f>
        <v>0</v>
      </c>
      <c r="F4" s="1052">
        <f t="shared" ref="F4:F9" si="3">D4+E4</f>
        <v>2544670</v>
      </c>
      <c r="G4" s="1052">
        <v>2153500</v>
      </c>
      <c r="H4" s="1052"/>
      <c r="I4" s="1052"/>
      <c r="J4" s="1052">
        <f t="shared" ref="J4:J49" si="4">+H4+I4</f>
        <v>0</v>
      </c>
      <c r="K4" s="1113">
        <f>875000+875000+100890+342000+100890+150000+100890</f>
        <v>2544670</v>
      </c>
      <c r="L4" s="1113">
        <v>2544670</v>
      </c>
      <c r="M4" s="1113">
        <f t="shared" ref="M4:M64" si="5">K4-L4</f>
        <v>0</v>
      </c>
      <c r="N4" s="1113">
        <v>2544670</v>
      </c>
      <c r="O4" s="1052" t="s">
        <v>3168</v>
      </c>
      <c r="P4" s="1052"/>
      <c r="Q4" s="1052"/>
      <c r="R4" s="1114">
        <v>41671</v>
      </c>
      <c r="S4" s="1752">
        <f>R4+(365*3)+2</f>
        <v>42768</v>
      </c>
      <c r="T4" s="1752"/>
      <c r="U4" s="1052">
        <f>($X$1-S4)/365</f>
        <v>1.747945205479452</v>
      </c>
      <c r="V4" s="1115">
        <f>($X$1-S4)/365*4</f>
        <v>6.9917808219178079</v>
      </c>
      <c r="W4" s="1052">
        <f>K4*U4*8/100</f>
        <v>355835.4980821918</v>
      </c>
      <c r="X4" s="1052">
        <f>K4*U4*18/100</f>
        <v>800629.87068493152</v>
      </c>
      <c r="Y4" s="1116">
        <f>$D4*8/100*$U4</f>
        <v>355835.4980821918</v>
      </c>
      <c r="Z4" s="1116">
        <f>$H4*8/100*$U4</f>
        <v>0</v>
      </c>
      <c r="AA4" s="1052">
        <f>+D4+Z4</f>
        <v>2544670</v>
      </c>
      <c r="AB4" s="1052">
        <f>+H4*(1+18%/4)^V4</f>
        <v>0</v>
      </c>
      <c r="AC4" s="1052">
        <f t="shared" si="0"/>
        <v>2544670</v>
      </c>
      <c r="AD4" s="1201">
        <v>0</v>
      </c>
      <c r="AE4" s="1201">
        <f t="shared" si="1"/>
        <v>0</v>
      </c>
      <c r="AF4" s="1250">
        <f t="shared" si="2"/>
        <v>2544670</v>
      </c>
      <c r="AG4" s="1129"/>
      <c r="AH4" s="1129"/>
      <c r="AI4" s="1129"/>
      <c r="AJ4" s="1129"/>
      <c r="AK4" s="1129"/>
      <c r="AL4" s="1129"/>
      <c r="AM4" s="1129"/>
      <c r="AN4" s="1129"/>
      <c r="AO4" s="1129"/>
      <c r="AP4" s="1129"/>
      <c r="AQ4" s="1129"/>
      <c r="AR4" s="1129"/>
      <c r="AS4" s="1129"/>
      <c r="AT4" s="1129"/>
      <c r="AU4" s="1129"/>
      <c r="AV4" s="1129"/>
      <c r="AW4" s="1129"/>
      <c r="AX4" s="1129"/>
      <c r="AY4" s="1129"/>
      <c r="AZ4" s="1129"/>
      <c r="BA4" s="1129"/>
      <c r="BB4" s="1129"/>
      <c r="BC4" s="1129"/>
      <c r="BD4" s="1129"/>
      <c r="BE4" s="1129"/>
      <c r="BF4" s="1129"/>
      <c r="BG4" s="1129"/>
    </row>
    <row r="5" spans="1:59" s="1124" customFormat="1" ht="30">
      <c r="A5" s="1228">
        <v>4</v>
      </c>
      <c r="B5" s="1053" t="s">
        <v>2985</v>
      </c>
      <c r="C5" s="1054" t="s">
        <v>2986</v>
      </c>
      <c r="D5" s="1053">
        <v>3951610</v>
      </c>
      <c r="E5" s="1053">
        <f>+'[5]Anu Gupta'!H17</f>
        <v>3561504.6230136985</v>
      </c>
      <c r="F5" s="1053">
        <f t="shared" si="3"/>
        <v>7513114.6230136985</v>
      </c>
      <c r="G5" s="1053">
        <v>3951610</v>
      </c>
      <c r="H5" s="1053">
        <v>3951610</v>
      </c>
      <c r="I5" s="1053">
        <f>+'[5]Anu Gupta'!H17</f>
        <v>3561504.6230136985</v>
      </c>
      <c r="J5" s="1053">
        <f t="shared" si="4"/>
        <v>7513114.6230136985</v>
      </c>
      <c r="K5" s="1118">
        <f>278830+200000+182108+400000+1282436+500000+588353+100000+367896</f>
        <v>3899623</v>
      </c>
      <c r="L5" s="1118">
        <v>0</v>
      </c>
      <c r="M5" s="1118">
        <f t="shared" si="5"/>
        <v>3899623</v>
      </c>
      <c r="N5" s="1118">
        <f>500000+588353+100000+367896+182108</f>
        <v>1738357</v>
      </c>
      <c r="O5" s="1119">
        <v>42250</v>
      </c>
      <c r="P5" s="1119"/>
      <c r="Q5" s="1119"/>
      <c r="R5" s="1120">
        <v>41424</v>
      </c>
      <c r="S5" s="1754">
        <f>R5+(365*3)+2</f>
        <v>42521</v>
      </c>
      <c r="T5" s="1754"/>
      <c r="U5" s="1053">
        <f>($X$1-S5)/365</f>
        <v>2.4246575342465753</v>
      </c>
      <c r="V5" s="1122">
        <f>($X$1-S5)/365*4</f>
        <v>9.6986301369863011</v>
      </c>
      <c r="W5" s="1053">
        <v>0</v>
      </c>
      <c r="X5" s="1053">
        <f>$K$5*$U$5*18/100</f>
        <v>1701945.051780822</v>
      </c>
      <c r="Y5" s="1123"/>
      <c r="Z5" s="1123"/>
      <c r="AA5" s="1053"/>
      <c r="AB5" s="1053">
        <v>3561504.6230136985</v>
      </c>
      <c r="AC5" s="1053">
        <f t="shared" si="0"/>
        <v>7513114.6230136985</v>
      </c>
      <c r="AD5" s="1202">
        <v>3951610</v>
      </c>
      <c r="AE5" s="1202">
        <f t="shared" si="1"/>
        <v>7513114.6230136985</v>
      </c>
      <c r="AF5" s="1229">
        <f t="shared" si="2"/>
        <v>0</v>
      </c>
      <c r="AG5" s="1129"/>
      <c r="AH5" s="1129"/>
      <c r="AI5" s="1129"/>
      <c r="AJ5" s="1129"/>
      <c r="AK5" s="1129"/>
      <c r="AL5" s="1129"/>
      <c r="AM5" s="1129"/>
      <c r="AN5" s="1129"/>
      <c r="AO5" s="1129"/>
      <c r="AP5" s="1129"/>
      <c r="AQ5" s="1129"/>
      <c r="AR5" s="1129"/>
      <c r="AS5" s="1129"/>
      <c r="AT5" s="1129"/>
      <c r="AU5" s="1129"/>
      <c r="AV5" s="1129"/>
      <c r="AW5" s="1129"/>
      <c r="AX5" s="1129"/>
      <c r="AY5" s="1129"/>
      <c r="AZ5" s="1129"/>
      <c r="BA5" s="1129"/>
      <c r="BB5" s="1129"/>
      <c r="BC5" s="1129"/>
      <c r="BD5" s="1129"/>
      <c r="BE5" s="1129"/>
      <c r="BF5" s="1129"/>
      <c r="BG5" s="1129"/>
    </row>
    <row r="6" spans="1:59" s="1117" customFormat="1" ht="30">
      <c r="A6" s="1227">
        <v>5</v>
      </c>
      <c r="B6" s="1052" t="s">
        <v>2987</v>
      </c>
      <c r="C6" s="1055" t="s">
        <v>2988</v>
      </c>
      <c r="D6" s="1052">
        <v>4896425</v>
      </c>
      <c r="E6" s="1052">
        <f t="shared" ref="E6:E65" si="6">+AB6</f>
        <v>0</v>
      </c>
      <c r="F6" s="1052">
        <f t="shared" si="3"/>
        <v>4896425</v>
      </c>
      <c r="G6" s="1052">
        <v>4896425</v>
      </c>
      <c r="H6" s="1052">
        <v>1000000</v>
      </c>
      <c r="I6" s="1052"/>
      <c r="J6" s="1052">
        <f t="shared" si="4"/>
        <v>1000000</v>
      </c>
      <c r="K6" s="1125"/>
      <c r="L6" s="1125">
        <v>0</v>
      </c>
      <c r="M6" s="1113">
        <v>1000000</v>
      </c>
      <c r="N6" s="1125" t="s">
        <v>3169</v>
      </c>
      <c r="O6" s="1052"/>
      <c r="P6" s="1052"/>
      <c r="Q6" s="1052"/>
      <c r="R6" s="1116"/>
      <c r="S6" s="1752"/>
      <c r="T6" s="1752"/>
      <c r="U6" s="1052"/>
      <c r="V6" s="1115">
        <f t="shared" ref="V6:V65" si="7">($X$1-S6)/365*4</f>
        <v>475.68219178082194</v>
      </c>
      <c r="W6" s="1052"/>
      <c r="X6" s="1052"/>
      <c r="Y6" s="1116">
        <f t="shared" ref="Y6:Y49" si="8">$D6*8/100*$U6</f>
        <v>0</v>
      </c>
      <c r="Z6" s="1116">
        <f t="shared" ref="Z6:Z64" si="9">$H6*8/100*$U6</f>
        <v>0</v>
      </c>
      <c r="AA6" s="1052">
        <f t="shared" ref="AA6:AA64" si="10">+D6+Z6</f>
        <v>4896425</v>
      </c>
      <c r="AB6" s="1052">
        <v>0</v>
      </c>
      <c r="AC6" s="1052">
        <f t="shared" si="0"/>
        <v>4896425</v>
      </c>
      <c r="AD6" s="1201">
        <v>0</v>
      </c>
      <c r="AE6" s="1201">
        <f t="shared" si="1"/>
        <v>0</v>
      </c>
      <c r="AF6" s="1250">
        <f t="shared" si="2"/>
        <v>4896425</v>
      </c>
      <c r="AG6" s="1129"/>
      <c r="AH6" s="1129"/>
      <c r="AI6" s="1129"/>
      <c r="AJ6" s="1129"/>
      <c r="AK6" s="1129"/>
      <c r="AL6" s="1129"/>
      <c r="AM6" s="1129"/>
      <c r="AN6" s="1129"/>
      <c r="AO6" s="1129"/>
      <c r="AP6" s="1129"/>
      <c r="AQ6" s="1129"/>
      <c r="AR6" s="1129"/>
      <c r="AS6" s="1129"/>
      <c r="AT6" s="1129"/>
      <c r="AU6" s="1129"/>
      <c r="AV6" s="1129"/>
      <c r="AW6" s="1129"/>
      <c r="AX6" s="1129"/>
      <c r="AY6" s="1129"/>
      <c r="AZ6" s="1129"/>
      <c r="BA6" s="1129"/>
      <c r="BB6" s="1129"/>
      <c r="BC6" s="1129"/>
      <c r="BD6" s="1129"/>
      <c r="BE6" s="1129"/>
      <c r="BF6" s="1129"/>
      <c r="BG6" s="1129"/>
    </row>
    <row r="7" spans="1:59" s="1112" customFormat="1" ht="42.75" customHeight="1">
      <c r="A7" s="1225">
        <v>6</v>
      </c>
      <c r="B7" s="1050" t="s">
        <v>2989</v>
      </c>
      <c r="C7" s="1051" t="s">
        <v>2990</v>
      </c>
      <c r="D7" s="1050">
        <v>4275000</v>
      </c>
      <c r="E7" s="1050">
        <f t="shared" si="6"/>
        <v>5890363.2551806401</v>
      </c>
      <c r="F7" s="1050">
        <f t="shared" si="3"/>
        <v>10165363.25518064</v>
      </c>
      <c r="G7" s="1050">
        <v>4275000</v>
      </c>
      <c r="H7" s="1050">
        <v>3675000</v>
      </c>
      <c r="I7" s="1050"/>
      <c r="J7" s="1050">
        <f t="shared" si="4"/>
        <v>3675000</v>
      </c>
      <c r="K7" s="1106">
        <f>350000+100000+100000+145000+150000+300000+85000+45000+90000+190000+70000+100000+100000+850000+50000+50000+200000+400000+500000</f>
        <v>3875000</v>
      </c>
      <c r="L7" s="1106">
        <v>2775000</v>
      </c>
      <c r="M7" s="1107">
        <f>+K7-L7</f>
        <v>1100000</v>
      </c>
      <c r="N7" s="1106">
        <f>350000+100000+100000+145000+150000+300000+85000+45000+90000+190000+70000+100000+100000+850000+200000</f>
        <v>2875000</v>
      </c>
      <c r="O7" s="1051" t="s">
        <v>3170</v>
      </c>
      <c r="P7" s="1050"/>
      <c r="Q7" s="1050"/>
      <c r="R7" s="1108">
        <v>41331</v>
      </c>
      <c r="S7" s="1755">
        <f>R7+(365*3)+2</f>
        <v>42428</v>
      </c>
      <c r="T7" s="1755"/>
      <c r="U7" s="1050">
        <f>($X$1-S7)/365</f>
        <v>2.6794520547945204</v>
      </c>
      <c r="V7" s="1110">
        <f t="shared" si="7"/>
        <v>10.717808219178082</v>
      </c>
      <c r="W7" s="1050">
        <f>$N$7*$U$7*8/100</f>
        <v>616273.9726027397</v>
      </c>
      <c r="X7" s="1050">
        <f>$N$7*$U$7*18/100</f>
        <v>1386616.4383561644</v>
      </c>
      <c r="Y7" s="1111">
        <f t="shared" si="8"/>
        <v>916372.60273972596</v>
      </c>
      <c r="Z7" s="1111">
        <f t="shared" si="9"/>
        <v>787758.90410958906</v>
      </c>
      <c r="AA7" s="1050">
        <f t="shared" si="10"/>
        <v>5062758.9041095888</v>
      </c>
      <c r="AB7" s="1050">
        <f>+H7*(1+18%/4)^V7</f>
        <v>5890363.2551806401</v>
      </c>
      <c r="AC7" s="1050">
        <f t="shared" si="0"/>
        <v>10165363.25518064</v>
      </c>
      <c r="AD7" s="1200">
        <v>3675000</v>
      </c>
      <c r="AE7" s="1200">
        <f t="shared" si="1"/>
        <v>9565363.2551806401</v>
      </c>
      <c r="AF7" s="1226">
        <f t="shared" si="2"/>
        <v>600000</v>
      </c>
      <c r="AG7" s="1129"/>
      <c r="AH7" s="1129"/>
      <c r="AI7" s="1129"/>
      <c r="AJ7" s="1129"/>
      <c r="AK7" s="1129"/>
      <c r="AL7" s="1129"/>
      <c r="AM7" s="1129"/>
      <c r="AN7" s="1129"/>
      <c r="AO7" s="1129"/>
      <c r="AP7" s="1129"/>
      <c r="AQ7" s="1129"/>
      <c r="AR7" s="1129"/>
      <c r="AS7" s="1129"/>
      <c r="AT7" s="1129"/>
      <c r="AU7" s="1129"/>
      <c r="AV7" s="1129"/>
      <c r="AW7" s="1129"/>
      <c r="AX7" s="1129"/>
      <c r="AY7" s="1129"/>
      <c r="AZ7" s="1129"/>
      <c r="BA7" s="1129"/>
      <c r="BB7" s="1129"/>
      <c r="BC7" s="1129"/>
      <c r="BD7" s="1129"/>
      <c r="BE7" s="1129"/>
      <c r="BF7" s="1129"/>
      <c r="BG7" s="1129"/>
    </row>
    <row r="8" spans="1:59" s="1124" customFormat="1" ht="30">
      <c r="A8" s="1228">
        <v>7</v>
      </c>
      <c r="B8" s="1053" t="s">
        <v>2991</v>
      </c>
      <c r="C8" s="1054" t="s">
        <v>2992</v>
      </c>
      <c r="D8" s="1053">
        <v>1180208</v>
      </c>
      <c r="E8" s="1053">
        <f t="shared" si="6"/>
        <v>1808674.3716046035</v>
      </c>
      <c r="F8" s="1053">
        <f t="shared" si="3"/>
        <v>2988882.3716046037</v>
      </c>
      <c r="G8" s="1053">
        <v>1180208</v>
      </c>
      <c r="H8" s="1053">
        <f>+K8</f>
        <v>1180208</v>
      </c>
      <c r="I8" s="1053"/>
      <c r="J8" s="1053">
        <f t="shared" si="4"/>
        <v>1180208</v>
      </c>
      <c r="K8" s="1118">
        <f>300000+496189+384019</f>
        <v>1180208</v>
      </c>
      <c r="L8" s="1118">
        <v>0</v>
      </c>
      <c r="M8" s="1118">
        <f t="shared" si="5"/>
        <v>1180208</v>
      </c>
      <c r="N8" s="1118">
        <f>496189+384019</f>
        <v>880208</v>
      </c>
      <c r="O8" s="1053" t="s">
        <v>3171</v>
      </c>
      <c r="P8" s="1053"/>
      <c r="Q8" s="1053"/>
      <c r="R8" s="1120">
        <v>41424</v>
      </c>
      <c r="S8" s="1754">
        <f>R8+(365*3)+2</f>
        <v>42521</v>
      </c>
      <c r="T8" s="1754"/>
      <c r="U8" s="1053">
        <f>($X$1-S8)/365</f>
        <v>2.4246575342465753</v>
      </c>
      <c r="V8" s="1122">
        <f t="shared" si="7"/>
        <v>9.6986301369863011</v>
      </c>
      <c r="W8" s="1053">
        <f>$H$8*$U$8*8/100</f>
        <v>228928.01753424655</v>
      </c>
      <c r="X8" s="1053">
        <f>$K$8*$U$8*18/100</f>
        <v>515088.03945205471</v>
      </c>
      <c r="Y8" s="1123">
        <f t="shared" si="8"/>
        <v>228928.01753424658</v>
      </c>
      <c r="Z8" s="1123">
        <f t="shared" si="9"/>
        <v>228928.01753424658</v>
      </c>
      <c r="AA8" s="1053">
        <f t="shared" si="10"/>
        <v>1409136.0175342467</v>
      </c>
      <c r="AB8" s="1053">
        <f>+H8*(1+18%/4)^V8</f>
        <v>1808674.3716046035</v>
      </c>
      <c r="AC8" s="1053">
        <f t="shared" si="0"/>
        <v>2988882.3716046037</v>
      </c>
      <c r="AD8" s="1202">
        <v>1180208</v>
      </c>
      <c r="AE8" s="1202">
        <f t="shared" si="1"/>
        <v>2988882.3716046037</v>
      </c>
      <c r="AF8" s="1229">
        <f t="shared" si="2"/>
        <v>0</v>
      </c>
      <c r="AG8" s="1129"/>
      <c r="AH8" s="1129"/>
      <c r="AI8" s="1129"/>
      <c r="AJ8" s="1129"/>
      <c r="AK8" s="1129"/>
      <c r="AL8" s="1129"/>
      <c r="AM8" s="1129"/>
      <c r="AN8" s="1129"/>
      <c r="AO8" s="1129"/>
      <c r="AP8" s="1129"/>
      <c r="AQ8" s="1129"/>
      <c r="AR8" s="1129"/>
      <c r="AS8" s="1129"/>
      <c r="AT8" s="1129"/>
      <c r="AU8" s="1129"/>
      <c r="AV8" s="1129"/>
      <c r="AW8" s="1129"/>
      <c r="AX8" s="1129"/>
      <c r="AY8" s="1129"/>
      <c r="AZ8" s="1129"/>
      <c r="BA8" s="1129"/>
      <c r="BB8" s="1129"/>
      <c r="BC8" s="1129"/>
      <c r="BD8" s="1129"/>
      <c r="BE8" s="1129"/>
      <c r="BF8" s="1129"/>
      <c r="BG8" s="1129"/>
    </row>
    <row r="9" spans="1:59">
      <c r="A9" s="1230">
        <v>8</v>
      </c>
      <c r="B9" s="1056" t="s">
        <v>2993</v>
      </c>
      <c r="C9" s="1057" t="s">
        <v>2994</v>
      </c>
      <c r="D9" s="1056">
        <v>4432655</v>
      </c>
      <c r="E9" s="1056">
        <f t="shared" si="6"/>
        <v>0</v>
      </c>
      <c r="F9" s="1056">
        <f t="shared" si="3"/>
        <v>4432655</v>
      </c>
      <c r="G9" s="1056">
        <v>4432655</v>
      </c>
      <c r="H9" s="1056">
        <v>2000000</v>
      </c>
      <c r="I9" s="1056"/>
      <c r="J9" s="1056">
        <f t="shared" si="4"/>
        <v>2000000</v>
      </c>
      <c r="K9" s="1126">
        <f>2000000+432655+2000000</f>
        <v>4432655</v>
      </c>
      <c r="L9" s="1126">
        <f>432655+2000000</f>
        <v>2432655</v>
      </c>
      <c r="M9" s="1126">
        <f t="shared" si="5"/>
        <v>2000000</v>
      </c>
      <c r="N9" s="1126">
        <f>2000000</f>
        <v>2000000</v>
      </c>
      <c r="O9" s="1056" t="s">
        <v>3172</v>
      </c>
      <c r="P9" s="1056"/>
      <c r="Q9" s="1056"/>
      <c r="R9" s="1127">
        <v>41349</v>
      </c>
      <c r="S9" s="1753">
        <f>R9+(365*3)+2</f>
        <v>42446</v>
      </c>
      <c r="T9" s="1753"/>
      <c r="U9" s="1056">
        <f>($X$1-S9)/365</f>
        <v>2.6301369863013697</v>
      </c>
      <c r="V9" s="1198">
        <f t="shared" si="7"/>
        <v>10.520547945205479</v>
      </c>
      <c r="W9" s="1056">
        <f>$K$9*$U$9*8/100</f>
        <v>932679.18904109579</v>
      </c>
      <c r="X9" s="1056">
        <f>$K$9*$U$9*18/100</f>
        <v>2098528.1753424658</v>
      </c>
      <c r="Y9" s="1128">
        <f t="shared" si="8"/>
        <v>932679.1890410959</v>
      </c>
      <c r="Z9" s="1128">
        <f t="shared" si="9"/>
        <v>420821.91780821915</v>
      </c>
      <c r="AA9" s="1056">
        <f t="shared" si="10"/>
        <v>4853476.9178082189</v>
      </c>
      <c r="AB9" s="1056">
        <v>0</v>
      </c>
      <c r="AC9" s="1056">
        <f t="shared" si="0"/>
        <v>4432655</v>
      </c>
      <c r="AD9" s="1203">
        <v>0</v>
      </c>
      <c r="AE9" s="1203">
        <f t="shared" si="1"/>
        <v>0</v>
      </c>
      <c r="AF9" s="1231">
        <f t="shared" si="2"/>
        <v>4432655</v>
      </c>
    </row>
    <row r="10" spans="1:59" s="1117" customFormat="1">
      <c r="A10" s="1227">
        <v>9</v>
      </c>
      <c r="B10" s="1052" t="s">
        <v>2995</v>
      </c>
      <c r="C10" s="1055" t="s">
        <v>2996</v>
      </c>
      <c r="D10" s="1052">
        <v>3371783</v>
      </c>
      <c r="E10" s="1052">
        <f t="shared" si="6"/>
        <v>0</v>
      </c>
      <c r="F10" s="1052">
        <f>D10+E10</f>
        <v>3371783</v>
      </c>
      <c r="G10" s="1052">
        <v>3371783</v>
      </c>
      <c r="H10" s="1052"/>
      <c r="I10" s="1052"/>
      <c r="J10" s="1052">
        <f t="shared" si="4"/>
        <v>0</v>
      </c>
      <c r="K10" s="1113">
        <f>1570049+1000000+234657+66914+100163+400000</f>
        <v>3371783</v>
      </c>
      <c r="L10" s="1113">
        <f>+K10-400000</f>
        <v>2971783</v>
      </c>
      <c r="M10" s="1113">
        <f t="shared" si="5"/>
        <v>400000</v>
      </c>
      <c r="N10" s="1113">
        <f>1570049+1000000+234657+66914+100163</f>
        <v>2971783</v>
      </c>
      <c r="O10" s="1052" t="s">
        <v>3173</v>
      </c>
      <c r="P10" s="1052"/>
      <c r="Q10" s="1052"/>
      <c r="R10" s="1114"/>
      <c r="S10" s="1752"/>
      <c r="T10" s="1752"/>
      <c r="U10" s="1052"/>
      <c r="V10" s="1115">
        <f t="shared" si="7"/>
        <v>475.68219178082194</v>
      </c>
      <c r="W10" s="1052"/>
      <c r="X10" s="1052"/>
      <c r="Y10" s="1116">
        <f t="shared" si="8"/>
        <v>0</v>
      </c>
      <c r="Z10" s="1116">
        <f t="shared" si="9"/>
        <v>0</v>
      </c>
      <c r="AA10" s="1052">
        <f t="shared" si="10"/>
        <v>3371783</v>
      </c>
      <c r="AB10" s="1052">
        <f t="shared" ref="AB10:AB29" si="11">+H10*(1+18%/4)^V10</f>
        <v>0</v>
      </c>
      <c r="AC10" s="1052">
        <f t="shared" si="0"/>
        <v>3371783</v>
      </c>
      <c r="AD10" s="1201">
        <v>0</v>
      </c>
      <c r="AE10" s="1201">
        <f t="shared" si="1"/>
        <v>0</v>
      </c>
      <c r="AF10" s="1250">
        <f t="shared" si="2"/>
        <v>3371783</v>
      </c>
      <c r="AG10" s="1129"/>
      <c r="AH10" s="1129"/>
      <c r="AI10" s="1129"/>
      <c r="AJ10" s="1129"/>
      <c r="AK10" s="1129"/>
      <c r="AL10" s="1129"/>
      <c r="AM10" s="1129"/>
      <c r="AN10" s="1129"/>
      <c r="AO10" s="1129"/>
      <c r="AP10" s="1129"/>
      <c r="AQ10" s="1129"/>
      <c r="AR10" s="1129"/>
      <c r="AS10" s="1129"/>
      <c r="AT10" s="1129"/>
      <c r="AU10" s="1129"/>
      <c r="AV10" s="1129"/>
      <c r="AW10" s="1129"/>
      <c r="AX10" s="1129"/>
      <c r="AY10" s="1129"/>
      <c r="AZ10" s="1129"/>
      <c r="BA10" s="1129"/>
      <c r="BB10" s="1129"/>
      <c r="BC10" s="1129"/>
      <c r="BD10" s="1129"/>
      <c r="BE10" s="1129"/>
      <c r="BF10" s="1129"/>
      <c r="BG10" s="1129"/>
    </row>
    <row r="11" spans="1:59" s="1124" customFormat="1">
      <c r="A11" s="1228">
        <v>10</v>
      </c>
      <c r="B11" s="1053" t="s">
        <v>2997</v>
      </c>
      <c r="C11" s="1054" t="s">
        <v>2998</v>
      </c>
      <c r="D11" s="1053">
        <v>1550000</v>
      </c>
      <c r="E11" s="1053">
        <f t="shared" si="6"/>
        <v>2141373.4124017637</v>
      </c>
      <c r="F11" s="1053">
        <f t="shared" ref="F11:F71" si="12">D11+E11</f>
        <v>3691373.4124017637</v>
      </c>
      <c r="G11" s="1053">
        <v>1550000</v>
      </c>
      <c r="H11" s="1053">
        <f>+K11</f>
        <v>1550000</v>
      </c>
      <c r="I11" s="1053"/>
      <c r="J11" s="1053">
        <f t="shared" si="4"/>
        <v>1550000</v>
      </c>
      <c r="K11" s="1118">
        <f>300000+500000+500000+250000</f>
        <v>1550000</v>
      </c>
      <c r="L11" s="1118">
        <v>0</v>
      </c>
      <c r="M11" s="1118">
        <f t="shared" si="5"/>
        <v>1550000</v>
      </c>
      <c r="N11" s="1118">
        <v>500000</v>
      </c>
      <c r="O11" s="1053" t="s">
        <v>3174</v>
      </c>
      <c r="P11" s="1053"/>
      <c r="Q11" s="1053"/>
      <c r="R11" s="1120">
        <v>41639</v>
      </c>
      <c r="S11" s="1754">
        <f>R11+(365*3)+2</f>
        <v>42736</v>
      </c>
      <c r="T11" s="1754"/>
      <c r="U11" s="1053">
        <f>($X$1-S11)/365</f>
        <v>1.8356164383561644</v>
      </c>
      <c r="V11" s="1122">
        <f t="shared" si="7"/>
        <v>7.3424657534246576</v>
      </c>
      <c r="W11" s="1053">
        <f>$K$11*$U$11*8/100</f>
        <v>227616.43835616441</v>
      </c>
      <c r="X11" s="1053">
        <f>$K$11*$U$11*18/100</f>
        <v>512136.98630136991</v>
      </c>
      <c r="Y11" s="1123">
        <f t="shared" si="8"/>
        <v>227616.43835616438</v>
      </c>
      <c r="Z11" s="1123">
        <f t="shared" si="9"/>
        <v>227616.43835616438</v>
      </c>
      <c r="AA11" s="1053">
        <f t="shared" si="10"/>
        <v>1777616.4383561644</v>
      </c>
      <c r="AB11" s="1053">
        <f t="shared" si="11"/>
        <v>2141373.4124017637</v>
      </c>
      <c r="AC11" s="1053">
        <f t="shared" si="0"/>
        <v>3691373.4124017637</v>
      </c>
      <c r="AD11" s="1202">
        <v>1550000</v>
      </c>
      <c r="AE11" s="1202">
        <f t="shared" si="1"/>
        <v>3691373.4124017637</v>
      </c>
      <c r="AF11" s="1229">
        <f t="shared" si="2"/>
        <v>0</v>
      </c>
      <c r="AG11" s="1129"/>
      <c r="AH11" s="1129"/>
      <c r="AI11" s="1129"/>
      <c r="AJ11" s="1129"/>
      <c r="AK11" s="1129"/>
      <c r="AL11" s="1129"/>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9"/>
    </row>
    <row r="12" spans="1:59" ht="30">
      <c r="A12" s="1230">
        <v>11</v>
      </c>
      <c r="B12" s="1058" t="s">
        <v>2999</v>
      </c>
      <c r="C12" s="1057" t="s">
        <v>3000</v>
      </c>
      <c r="D12" s="1056">
        <v>1014242</v>
      </c>
      <c r="E12" s="1056">
        <f t="shared" si="6"/>
        <v>0</v>
      </c>
      <c r="F12" s="1056">
        <f t="shared" si="12"/>
        <v>1014242</v>
      </c>
      <c r="G12" s="1056">
        <v>1014242</v>
      </c>
      <c r="H12" s="1056"/>
      <c r="I12" s="1056"/>
      <c r="J12" s="1056">
        <f t="shared" si="4"/>
        <v>0</v>
      </c>
      <c r="K12" s="1126">
        <f>10000+400000+400000+204242</f>
        <v>1014242</v>
      </c>
      <c r="L12" s="1126">
        <v>1004242</v>
      </c>
      <c r="M12" s="1126">
        <f t="shared" si="5"/>
        <v>10000</v>
      </c>
      <c r="N12" s="1126">
        <f>10000+400000+400000+204242</f>
        <v>1014242</v>
      </c>
      <c r="O12" s="1056" t="s">
        <v>3175</v>
      </c>
      <c r="P12" s="1056"/>
      <c r="Q12" s="1056"/>
      <c r="R12" s="1127">
        <v>42152</v>
      </c>
      <c r="S12" s="1753">
        <f>R12+(365*3)+2</f>
        <v>43249</v>
      </c>
      <c r="T12" s="1753"/>
      <c r="U12" s="1056">
        <f>($X$1-S12)/365</f>
        <v>0.43013698630136987</v>
      </c>
      <c r="V12" s="1198">
        <f t="shared" si="7"/>
        <v>1.7205479452054795</v>
      </c>
      <c r="W12" s="1056">
        <f>$K$12*$U$12*8/100</f>
        <v>34901.039780821913</v>
      </c>
      <c r="X12" s="1056">
        <f>$K$12*$U$12*18/100</f>
        <v>78527.339506849312</v>
      </c>
      <c r="Y12" s="1128">
        <f t="shared" si="8"/>
        <v>34901.03978082192</v>
      </c>
      <c r="Z12" s="1128">
        <f t="shared" si="9"/>
        <v>0</v>
      </c>
      <c r="AA12" s="1056">
        <f t="shared" si="10"/>
        <v>1014242</v>
      </c>
      <c r="AB12" s="1056">
        <f t="shared" si="11"/>
        <v>0</v>
      </c>
      <c r="AC12" s="1056">
        <f t="shared" si="0"/>
        <v>1014242</v>
      </c>
      <c r="AD12" s="1203"/>
      <c r="AE12" s="1203">
        <f t="shared" si="1"/>
        <v>0</v>
      </c>
      <c r="AF12" s="1231">
        <f t="shared" si="2"/>
        <v>1014242</v>
      </c>
    </row>
    <row r="13" spans="1:59" s="1117" customFormat="1" ht="30">
      <c r="A13" s="1227">
        <v>12</v>
      </c>
      <c r="B13" s="1052" t="s">
        <v>3001</v>
      </c>
      <c r="C13" s="1055" t="s">
        <v>3002</v>
      </c>
      <c r="D13" s="1052">
        <v>2250000</v>
      </c>
      <c r="E13" s="1052">
        <f t="shared" si="6"/>
        <v>1338503.9332780107</v>
      </c>
      <c r="F13" s="1052">
        <f t="shared" si="12"/>
        <v>3588503.9332780107</v>
      </c>
      <c r="G13" s="1052">
        <v>2250000</v>
      </c>
      <c r="H13" s="1052">
        <v>800000</v>
      </c>
      <c r="I13" s="1052"/>
      <c r="J13" s="1052">
        <f t="shared" si="4"/>
        <v>800000</v>
      </c>
      <c r="K13" s="1113">
        <f>300000+500000</f>
        <v>800000</v>
      </c>
      <c r="L13" s="1113">
        <v>800000</v>
      </c>
      <c r="M13" s="1113">
        <f t="shared" si="5"/>
        <v>0</v>
      </c>
      <c r="N13" s="1113">
        <v>2250000</v>
      </c>
      <c r="O13" s="1052" t="s">
        <v>3176</v>
      </c>
      <c r="P13" s="1052"/>
      <c r="Q13" s="1052"/>
      <c r="R13" s="1114">
        <v>41242</v>
      </c>
      <c r="S13" s="1752">
        <f>R13+(365*3)+2</f>
        <v>42339</v>
      </c>
      <c r="T13" s="1752"/>
      <c r="U13" s="1052">
        <f>($X$1-S13)/365</f>
        <v>2.9232876712328766</v>
      </c>
      <c r="V13" s="1115">
        <f t="shared" si="7"/>
        <v>11.693150684931506</v>
      </c>
      <c r="W13" s="1052">
        <f>K13*U13*8/100</f>
        <v>187090.4109589041</v>
      </c>
      <c r="X13" s="1052">
        <f>K13*U13*18/100</f>
        <v>420953.42465753423</v>
      </c>
      <c r="Y13" s="1116">
        <f t="shared" si="8"/>
        <v>526191.78082191781</v>
      </c>
      <c r="Z13" s="1116">
        <f t="shared" si="9"/>
        <v>187090.4109589041</v>
      </c>
      <c r="AA13" s="1052">
        <f t="shared" si="10"/>
        <v>2437090.4109589043</v>
      </c>
      <c r="AB13" s="1052">
        <f t="shared" si="11"/>
        <v>1338503.9332780107</v>
      </c>
      <c r="AC13" s="1052">
        <f t="shared" si="0"/>
        <v>3588503.9332780107</v>
      </c>
      <c r="AD13" s="1201">
        <v>0</v>
      </c>
      <c r="AE13" s="1201">
        <f t="shared" si="1"/>
        <v>1338503.9332780107</v>
      </c>
      <c r="AF13" s="1250">
        <f t="shared" si="2"/>
        <v>2250000</v>
      </c>
      <c r="AG13" s="1129"/>
      <c r="AH13" s="1129"/>
      <c r="AI13" s="1129"/>
      <c r="AJ13" s="1129"/>
      <c r="AK13" s="1129"/>
      <c r="AL13" s="1129"/>
      <c r="AM13" s="1129"/>
      <c r="AN13" s="1129"/>
      <c r="AO13" s="1129"/>
      <c r="AP13" s="1129"/>
      <c r="AQ13" s="1129"/>
      <c r="AR13" s="1129"/>
      <c r="AS13" s="1129"/>
      <c r="AT13" s="1129"/>
      <c r="AU13" s="1129"/>
      <c r="AV13" s="1129"/>
      <c r="AW13" s="1129"/>
      <c r="AX13" s="1129"/>
      <c r="AY13" s="1129"/>
      <c r="AZ13" s="1129"/>
      <c r="BA13" s="1129"/>
      <c r="BB13" s="1129"/>
      <c r="BC13" s="1129"/>
      <c r="BD13" s="1129"/>
      <c r="BE13" s="1129"/>
      <c r="BF13" s="1129"/>
      <c r="BG13" s="1129"/>
    </row>
    <row r="14" spans="1:59" s="1117" customFormat="1">
      <c r="A14" s="1227">
        <v>13</v>
      </c>
      <c r="B14" s="1052" t="s">
        <v>3003</v>
      </c>
      <c r="C14" s="1055" t="s">
        <v>3004</v>
      </c>
      <c r="D14" s="1052">
        <v>4309743</v>
      </c>
      <c r="E14" s="1052">
        <f t="shared" si="6"/>
        <v>0</v>
      </c>
      <c r="F14" s="1052">
        <f t="shared" si="12"/>
        <v>4309743</v>
      </c>
      <c r="G14" s="1052">
        <v>4309743</v>
      </c>
      <c r="H14" s="1052"/>
      <c r="I14" s="1052"/>
      <c r="J14" s="1052">
        <f t="shared" si="4"/>
        <v>0</v>
      </c>
      <c r="K14" s="1113">
        <f>500000+460000+234001+500000+500000+500000+588867</f>
        <v>3282868</v>
      </c>
      <c r="L14" s="1113">
        <v>3282868</v>
      </c>
      <c r="M14" s="1113">
        <f t="shared" si="5"/>
        <v>0</v>
      </c>
      <c r="N14" s="1113">
        <f>234001+500000+500000+500000+588867</f>
        <v>2322868</v>
      </c>
      <c r="O14" s="1052" t="s">
        <v>3175</v>
      </c>
      <c r="P14" s="1052"/>
      <c r="Q14" s="1052"/>
      <c r="R14" s="1114"/>
      <c r="S14" s="1752"/>
      <c r="T14" s="1752"/>
      <c r="U14" s="1052"/>
      <c r="V14" s="1115">
        <f t="shared" si="7"/>
        <v>475.68219178082194</v>
      </c>
      <c r="W14" s="1052"/>
      <c r="X14" s="1052"/>
      <c r="Y14" s="1116">
        <f t="shared" si="8"/>
        <v>0</v>
      </c>
      <c r="Z14" s="1116">
        <f t="shared" si="9"/>
        <v>0</v>
      </c>
      <c r="AA14" s="1052">
        <f t="shared" si="10"/>
        <v>4309743</v>
      </c>
      <c r="AB14" s="1052">
        <f t="shared" si="11"/>
        <v>0</v>
      </c>
      <c r="AC14" s="1052">
        <f t="shared" si="0"/>
        <v>4309743</v>
      </c>
      <c r="AD14" s="1201">
        <v>0</v>
      </c>
      <c r="AE14" s="1201">
        <f t="shared" si="1"/>
        <v>0</v>
      </c>
      <c r="AF14" s="1250">
        <f t="shared" si="2"/>
        <v>4309743</v>
      </c>
      <c r="AG14" s="1129"/>
      <c r="AH14" s="1129"/>
      <c r="AI14" s="1129"/>
      <c r="AJ14" s="1129"/>
      <c r="AK14" s="1129"/>
      <c r="AL14" s="1129"/>
      <c r="AM14" s="1129"/>
      <c r="AN14" s="1129"/>
      <c r="AO14" s="1129"/>
      <c r="AP14" s="1129"/>
      <c r="AQ14" s="1129"/>
      <c r="AR14" s="1129"/>
      <c r="AS14" s="1129"/>
      <c r="AT14" s="1129"/>
      <c r="AU14" s="1129"/>
      <c r="AV14" s="1129"/>
      <c r="AW14" s="1129"/>
      <c r="AX14" s="1129"/>
      <c r="AY14" s="1129"/>
      <c r="AZ14" s="1129"/>
      <c r="BA14" s="1129"/>
      <c r="BB14" s="1129"/>
      <c r="BC14" s="1129"/>
      <c r="BD14" s="1129"/>
      <c r="BE14" s="1129"/>
      <c r="BF14" s="1129"/>
      <c r="BG14" s="1129"/>
    </row>
    <row r="15" spans="1:59">
      <c r="A15" s="1230">
        <v>14</v>
      </c>
      <c r="B15" s="1056" t="s">
        <v>3005</v>
      </c>
      <c r="C15" s="1057" t="s">
        <v>3006</v>
      </c>
      <c r="D15" s="1056">
        <v>989840</v>
      </c>
      <c r="E15" s="1056">
        <f t="shared" si="6"/>
        <v>0</v>
      </c>
      <c r="F15" s="1056">
        <f t="shared" si="12"/>
        <v>989840</v>
      </c>
      <c r="G15" s="1056">
        <v>989840</v>
      </c>
      <c r="H15" s="1056"/>
      <c r="I15" s="1056"/>
      <c r="J15" s="1056">
        <f t="shared" si="4"/>
        <v>0</v>
      </c>
      <c r="K15" s="1126">
        <f>300000+400000+289840</f>
        <v>989840</v>
      </c>
      <c r="L15" s="1130">
        <v>400000</v>
      </c>
      <c r="M15" s="1126">
        <f>989840-400000</f>
        <v>589840</v>
      </c>
      <c r="N15" s="1126"/>
      <c r="O15" s="1056" t="s">
        <v>3177</v>
      </c>
      <c r="P15" s="1056"/>
      <c r="Q15" s="1056"/>
      <c r="R15" s="1127">
        <v>41953</v>
      </c>
      <c r="S15" s="1753">
        <f>R15+(365*3)+2</f>
        <v>43050</v>
      </c>
      <c r="T15" s="1753"/>
      <c r="U15" s="1056">
        <f>($X$1-S15)/365</f>
        <v>0.97534246575342465</v>
      </c>
      <c r="V15" s="1198">
        <f t="shared" si="7"/>
        <v>3.9013698630136986</v>
      </c>
      <c r="W15" s="1056">
        <f>K15*U15*8/100</f>
        <v>77234.638904109583</v>
      </c>
      <c r="X15" s="1056">
        <f>K15*U15*18/100</f>
        <v>173777.93753424656</v>
      </c>
      <c r="Y15" s="1128">
        <f t="shared" si="8"/>
        <v>77234.638904109583</v>
      </c>
      <c r="Z15" s="1128">
        <f t="shared" si="9"/>
        <v>0</v>
      </c>
      <c r="AA15" s="1056">
        <f t="shared" si="10"/>
        <v>989840</v>
      </c>
      <c r="AB15" s="1056">
        <f t="shared" si="11"/>
        <v>0</v>
      </c>
      <c r="AC15" s="1056">
        <f t="shared" si="0"/>
        <v>989840</v>
      </c>
      <c r="AD15" s="1203"/>
      <c r="AE15" s="1203">
        <f t="shared" si="1"/>
        <v>0</v>
      </c>
      <c r="AF15" s="1231">
        <f t="shared" si="2"/>
        <v>989840</v>
      </c>
    </row>
    <row r="16" spans="1:59" s="1117" customFormat="1" ht="30">
      <c r="A16" s="1227">
        <v>15</v>
      </c>
      <c r="B16" s="1052" t="s">
        <v>3007</v>
      </c>
      <c r="C16" s="1055" t="s">
        <v>3008</v>
      </c>
      <c r="D16" s="1052">
        <v>1140000</v>
      </c>
      <c r="E16" s="1052">
        <f t="shared" si="6"/>
        <v>0</v>
      </c>
      <c r="F16" s="1052">
        <f t="shared" si="12"/>
        <v>1140000</v>
      </c>
      <c r="G16" s="1052">
        <v>540000</v>
      </c>
      <c r="H16" s="1052">
        <f>+L16</f>
        <v>600000</v>
      </c>
      <c r="I16" s="1052"/>
      <c r="J16" s="1052">
        <f t="shared" si="4"/>
        <v>600000</v>
      </c>
      <c r="K16" s="1113">
        <f>40000+500000+600000</f>
        <v>1140000</v>
      </c>
      <c r="L16" s="1113">
        <v>600000</v>
      </c>
      <c r="M16" s="1113">
        <f t="shared" si="5"/>
        <v>540000</v>
      </c>
      <c r="N16" s="1113">
        <f>40000+500000+600000</f>
        <v>1140000</v>
      </c>
      <c r="O16" s="1131">
        <v>41647</v>
      </c>
      <c r="P16" s="1052"/>
      <c r="Q16" s="1052"/>
      <c r="R16" s="1114"/>
      <c r="S16" s="1752"/>
      <c r="T16" s="1752"/>
      <c r="U16" s="1052"/>
      <c r="V16" s="1115">
        <f t="shared" si="7"/>
        <v>475.68219178082194</v>
      </c>
      <c r="W16" s="1052"/>
      <c r="X16" s="1052"/>
      <c r="Y16" s="1116">
        <f t="shared" si="8"/>
        <v>0</v>
      </c>
      <c r="Z16" s="1116">
        <f t="shared" si="9"/>
        <v>0</v>
      </c>
      <c r="AA16" s="1052">
        <f t="shared" si="10"/>
        <v>1140000</v>
      </c>
      <c r="AB16" s="1052">
        <v>0</v>
      </c>
      <c r="AC16" s="1052">
        <f t="shared" si="0"/>
        <v>1140000</v>
      </c>
      <c r="AD16" s="1201">
        <v>40000</v>
      </c>
      <c r="AE16" s="1201">
        <f t="shared" si="1"/>
        <v>40000</v>
      </c>
      <c r="AF16" s="1250">
        <f t="shared" si="2"/>
        <v>1100000</v>
      </c>
      <c r="AG16" s="1129"/>
      <c r="AH16" s="1129"/>
      <c r="AI16" s="1129"/>
      <c r="AJ16" s="1129"/>
      <c r="AK16" s="1129"/>
      <c r="AL16" s="1129"/>
      <c r="AM16" s="1129"/>
      <c r="AN16" s="1129"/>
      <c r="AO16" s="1129"/>
      <c r="AP16" s="1129"/>
      <c r="AQ16" s="1129"/>
      <c r="AR16" s="1129"/>
      <c r="AS16" s="1129"/>
      <c r="AT16" s="1129"/>
      <c r="AU16" s="1129"/>
      <c r="AV16" s="1129"/>
      <c r="AW16" s="1129"/>
      <c r="AX16" s="1129"/>
      <c r="AY16" s="1129"/>
      <c r="AZ16" s="1129"/>
      <c r="BA16" s="1129"/>
      <c r="BB16" s="1129"/>
      <c r="BC16" s="1129"/>
      <c r="BD16" s="1129"/>
      <c r="BE16" s="1129"/>
      <c r="BF16" s="1129"/>
      <c r="BG16" s="1129"/>
    </row>
    <row r="17" spans="1:59" s="1112" customFormat="1" ht="28.5" customHeight="1">
      <c r="A17" s="1225">
        <v>16</v>
      </c>
      <c r="B17" s="1050" t="s">
        <v>3009</v>
      </c>
      <c r="C17" s="1051" t="s">
        <v>3010</v>
      </c>
      <c r="D17" s="1050">
        <v>3500000</v>
      </c>
      <c r="E17" s="1050">
        <f t="shared" si="6"/>
        <v>4126928.7062731832</v>
      </c>
      <c r="F17" s="1050">
        <f t="shared" si="12"/>
        <v>7626928.7062731832</v>
      </c>
      <c r="G17" s="1050">
        <v>2086000</v>
      </c>
      <c r="H17" s="1050">
        <v>3150000</v>
      </c>
      <c r="I17" s="1050"/>
      <c r="J17" s="1050">
        <f t="shared" si="4"/>
        <v>3150000</v>
      </c>
      <c r="K17" s="1107">
        <f>400000+350000+108750+100000+100000+100000+100000+198750+110000+68500+250000+1158000+300000+70500+85500</f>
        <v>3500000</v>
      </c>
      <c r="L17" s="1106">
        <v>1158000</v>
      </c>
      <c r="M17" s="1107">
        <f>+K17-L17</f>
        <v>2342000</v>
      </c>
      <c r="N17" s="1107">
        <f>108750+100000+100000+100000+100000+198750+110000+68500+250000+1158000+300000+70500+85500</f>
        <v>2750000</v>
      </c>
      <c r="O17" s="1132">
        <v>41978</v>
      </c>
      <c r="P17" s="1050"/>
      <c r="Q17" s="1050"/>
      <c r="R17" s="1108">
        <v>41749</v>
      </c>
      <c r="S17" s="1755">
        <f>R17+(365*3)+2</f>
        <v>42846</v>
      </c>
      <c r="T17" s="1755"/>
      <c r="U17" s="1050">
        <f>($X$1-S17)/365</f>
        <v>1.5342465753424657</v>
      </c>
      <c r="V17" s="1110">
        <f t="shared" si="7"/>
        <v>6.1369863013698627</v>
      </c>
      <c r="W17" s="1050">
        <f>$K$17*$U$17*8/100</f>
        <v>429589.0410958904</v>
      </c>
      <c r="X17" s="1050">
        <f>$K$17*$U$17*18/100</f>
        <v>966575.34246575343</v>
      </c>
      <c r="Y17" s="1111">
        <f t="shared" si="8"/>
        <v>429589.0410958904</v>
      </c>
      <c r="Z17" s="1111">
        <f t="shared" si="9"/>
        <v>386630.13698630134</v>
      </c>
      <c r="AA17" s="1050">
        <f t="shared" si="10"/>
        <v>3886630.1369863013</v>
      </c>
      <c r="AB17" s="1050">
        <f t="shared" si="11"/>
        <v>4126928.7062731832</v>
      </c>
      <c r="AC17" s="1050">
        <f t="shared" si="0"/>
        <v>7626928.7062731832</v>
      </c>
      <c r="AD17" s="1200">
        <v>3150000</v>
      </c>
      <c r="AE17" s="1200">
        <f t="shared" si="1"/>
        <v>7276928.7062731832</v>
      </c>
      <c r="AF17" s="1226">
        <f t="shared" si="2"/>
        <v>350000</v>
      </c>
      <c r="AG17" s="1129"/>
      <c r="AH17" s="1129"/>
      <c r="AI17" s="1129"/>
      <c r="AJ17" s="1129"/>
      <c r="AK17" s="1129"/>
      <c r="AL17" s="1129"/>
      <c r="AM17" s="1129"/>
      <c r="AN17" s="1129"/>
      <c r="AO17" s="1129"/>
      <c r="AP17" s="1129"/>
      <c r="AQ17" s="1129"/>
      <c r="AR17" s="1129"/>
      <c r="AS17" s="1129"/>
      <c r="AT17" s="1129"/>
      <c r="AU17" s="1129"/>
      <c r="AV17" s="1129"/>
      <c r="AW17" s="1129"/>
      <c r="AX17" s="1129"/>
      <c r="AY17" s="1129"/>
      <c r="AZ17" s="1129"/>
      <c r="BA17" s="1129"/>
      <c r="BB17" s="1129"/>
      <c r="BC17" s="1129"/>
      <c r="BD17" s="1129"/>
      <c r="BE17" s="1129"/>
      <c r="BF17" s="1129"/>
      <c r="BG17" s="1129"/>
    </row>
    <row r="18" spans="1:59" s="1124" customFormat="1" ht="30">
      <c r="A18" s="1228">
        <v>17</v>
      </c>
      <c r="B18" s="1053" t="s">
        <v>3011</v>
      </c>
      <c r="C18" s="1054" t="s">
        <v>3012</v>
      </c>
      <c r="D18" s="1053">
        <v>1500000</v>
      </c>
      <c r="E18" s="1053">
        <f t="shared" si="6"/>
        <v>2128012.205882383</v>
      </c>
      <c r="F18" s="1053">
        <f t="shared" si="12"/>
        <v>3628012.205882383</v>
      </c>
      <c r="G18" s="1053">
        <v>1500000</v>
      </c>
      <c r="H18" s="1053">
        <f>+K18</f>
        <v>1500000</v>
      </c>
      <c r="I18" s="1053">
        <f t="shared" ref="I18:I23" si="13">+W18</f>
        <v>238356.16438356164</v>
      </c>
      <c r="J18" s="1053">
        <f t="shared" si="4"/>
        <v>1738356.1643835616</v>
      </c>
      <c r="K18" s="1118">
        <f>100000+600000+100000+300000+400000</f>
        <v>1500000</v>
      </c>
      <c r="L18" s="1118">
        <v>0</v>
      </c>
      <c r="M18" s="1118">
        <f t="shared" si="5"/>
        <v>1500000</v>
      </c>
      <c r="N18" s="1118">
        <f>100000+600000+100000+300000+400000</f>
        <v>1500000</v>
      </c>
      <c r="O18" s="1119">
        <v>41466</v>
      </c>
      <c r="P18" s="1053"/>
      <c r="Q18" s="1053"/>
      <c r="R18" s="1120">
        <v>41584</v>
      </c>
      <c r="S18" s="1754">
        <f>R18+(365*3)+2</f>
        <v>42681</v>
      </c>
      <c r="T18" s="1754"/>
      <c r="U18" s="1053">
        <f>($X$1-S18)/365</f>
        <v>1.9863013698630136</v>
      </c>
      <c r="V18" s="1122">
        <f t="shared" si="7"/>
        <v>7.9452054794520546</v>
      </c>
      <c r="W18" s="1053">
        <f>$H$18*$U$18*8/100</f>
        <v>238356.16438356164</v>
      </c>
      <c r="X18" s="1053">
        <f>$K$18*$U$18*18/100</f>
        <v>536301.36986301374</v>
      </c>
      <c r="Y18" s="1123">
        <f t="shared" si="8"/>
        <v>238356.16438356164</v>
      </c>
      <c r="Z18" s="1123">
        <f t="shared" si="9"/>
        <v>238356.16438356164</v>
      </c>
      <c r="AA18" s="1053">
        <f t="shared" si="10"/>
        <v>1738356.1643835616</v>
      </c>
      <c r="AB18" s="1053">
        <f t="shared" si="11"/>
        <v>2128012.205882383</v>
      </c>
      <c r="AC18" s="1053">
        <f t="shared" si="0"/>
        <v>3628012.205882383</v>
      </c>
      <c r="AD18" s="1202">
        <v>1500000</v>
      </c>
      <c r="AE18" s="1202">
        <f t="shared" si="1"/>
        <v>3628012.205882383</v>
      </c>
      <c r="AF18" s="1229">
        <f t="shared" si="2"/>
        <v>0</v>
      </c>
      <c r="AG18" s="1129"/>
      <c r="AH18" s="1129"/>
      <c r="AI18" s="1129"/>
      <c r="AJ18" s="1129"/>
      <c r="AK18" s="1129"/>
      <c r="AL18" s="1129"/>
      <c r="AM18" s="1129"/>
      <c r="AN18" s="1129"/>
      <c r="AO18" s="1129"/>
      <c r="AP18" s="1129"/>
      <c r="AQ18" s="1129"/>
      <c r="AR18" s="1129"/>
      <c r="AS18" s="1129"/>
      <c r="AT18" s="1129"/>
      <c r="AU18" s="1129"/>
      <c r="AV18" s="1129"/>
      <c r="AW18" s="1129"/>
      <c r="AX18" s="1129"/>
      <c r="AY18" s="1129"/>
      <c r="AZ18" s="1129"/>
      <c r="BA18" s="1129"/>
      <c r="BB18" s="1129"/>
      <c r="BC18" s="1129"/>
      <c r="BD18" s="1129"/>
      <c r="BE18" s="1129"/>
      <c r="BF18" s="1129"/>
      <c r="BG18" s="1129"/>
    </row>
    <row r="19" spans="1:59" s="1124" customFormat="1" ht="30">
      <c r="A19" s="1228">
        <v>18</v>
      </c>
      <c r="B19" s="1053" t="s">
        <v>3013</v>
      </c>
      <c r="C19" s="1054" t="s">
        <v>3014</v>
      </c>
      <c r="D19" s="1053">
        <v>2300000</v>
      </c>
      <c r="E19" s="1053">
        <f t="shared" si="6"/>
        <v>3378269.0186137338</v>
      </c>
      <c r="F19" s="1053">
        <f t="shared" si="12"/>
        <v>5678269.0186137334</v>
      </c>
      <c r="G19" s="1053">
        <v>2300000</v>
      </c>
      <c r="H19" s="1053">
        <v>2300000</v>
      </c>
      <c r="I19" s="1053">
        <f t="shared" si="13"/>
        <v>446136.98630136979</v>
      </c>
      <c r="J19" s="1053">
        <f t="shared" si="4"/>
        <v>2746136.98630137</v>
      </c>
      <c r="K19" s="1118">
        <f>150000+300000+300000+650000+900000</f>
        <v>2300000</v>
      </c>
      <c r="L19" s="1118">
        <v>0</v>
      </c>
      <c r="M19" s="1118">
        <f t="shared" si="5"/>
        <v>2300000</v>
      </c>
      <c r="N19" s="1118">
        <f>650000+900000</f>
        <v>1550000</v>
      </c>
      <c r="O19" s="1119">
        <v>41434</v>
      </c>
      <c r="P19" s="1122">
        <v>3264619000009</v>
      </c>
      <c r="Q19" s="1122">
        <v>1550000</v>
      </c>
      <c r="R19" s="1120">
        <v>41424</v>
      </c>
      <c r="S19" s="1754">
        <f>R19+(365*3)+2</f>
        <v>42521</v>
      </c>
      <c r="T19" s="1754"/>
      <c r="U19" s="1053">
        <f>($X$1-S19)/365</f>
        <v>2.4246575342465753</v>
      </c>
      <c r="V19" s="1122">
        <f t="shared" si="7"/>
        <v>9.6986301369863011</v>
      </c>
      <c r="W19" s="1053">
        <f>$H$19*$U$19*8/100</f>
        <v>446136.98630136979</v>
      </c>
      <c r="X19" s="1053">
        <f>$K$19*$U$19*18/100</f>
        <v>1003808.2191780821</v>
      </c>
      <c r="Y19" s="1123">
        <f t="shared" si="8"/>
        <v>446136.98630136985</v>
      </c>
      <c r="Z19" s="1123">
        <f t="shared" si="9"/>
        <v>446136.98630136985</v>
      </c>
      <c r="AA19" s="1053">
        <f t="shared" si="10"/>
        <v>2746136.98630137</v>
      </c>
      <c r="AB19" s="1053">
        <v>3378269.0186137338</v>
      </c>
      <c r="AC19" s="1053">
        <f t="shared" si="0"/>
        <v>5678269.0186137334</v>
      </c>
      <c r="AD19" s="1202">
        <v>2300000</v>
      </c>
      <c r="AE19" s="1202">
        <f t="shared" si="1"/>
        <v>5678269.0186137334</v>
      </c>
      <c r="AF19" s="1229">
        <f t="shared" si="2"/>
        <v>0</v>
      </c>
      <c r="AG19" s="1129"/>
      <c r="AH19" s="1129"/>
      <c r="AI19" s="1129"/>
      <c r="AJ19" s="1129"/>
      <c r="AK19" s="1129"/>
      <c r="AL19" s="1129"/>
      <c r="AM19" s="1129"/>
      <c r="AN19" s="1129"/>
      <c r="AO19" s="1129"/>
      <c r="AP19" s="1129"/>
      <c r="AQ19" s="1129"/>
      <c r="AR19" s="1129"/>
      <c r="AS19" s="1129"/>
      <c r="AT19" s="1129"/>
      <c r="AU19" s="1129"/>
      <c r="AV19" s="1129"/>
      <c r="AW19" s="1129"/>
      <c r="AX19" s="1129"/>
      <c r="AY19" s="1129"/>
      <c r="AZ19" s="1129"/>
      <c r="BA19" s="1129"/>
      <c r="BB19" s="1129"/>
      <c r="BC19" s="1129"/>
      <c r="BD19" s="1129"/>
      <c r="BE19" s="1129"/>
      <c r="BF19" s="1129"/>
      <c r="BG19" s="1129"/>
    </row>
    <row r="20" spans="1:59" s="1124" customFormat="1" ht="60">
      <c r="A20" s="1228">
        <v>19</v>
      </c>
      <c r="B20" s="1053" t="s">
        <v>3015</v>
      </c>
      <c r="C20" s="1054" t="s">
        <v>3016</v>
      </c>
      <c r="D20" s="1053">
        <v>8350000</v>
      </c>
      <c r="E20" s="1053">
        <f t="shared" si="6"/>
        <v>13115126.365392126</v>
      </c>
      <c r="F20" s="1053">
        <f t="shared" si="12"/>
        <v>21465126.365392126</v>
      </c>
      <c r="G20" s="1053">
        <v>8350000</v>
      </c>
      <c r="H20" s="1053">
        <f>+K20</f>
        <v>8350000</v>
      </c>
      <c r="I20" s="1053">
        <f t="shared" si="13"/>
        <v>1713008.2191780824</v>
      </c>
      <c r="J20" s="1053">
        <f t="shared" si="4"/>
        <v>10063008.219178082</v>
      </c>
      <c r="K20" s="1118">
        <f>150000+520000+130000+35000+400000+490000+891000+382000+52000+400000+1350000+500000+200000+400000+1300000+1150000</f>
        <v>8350000</v>
      </c>
      <c r="L20" s="1118">
        <f>2650000+150000+35000+400000</f>
        <v>3235000</v>
      </c>
      <c r="M20" s="1118">
        <f>8350000-3235000</f>
        <v>5115000</v>
      </c>
      <c r="N20" s="1118">
        <f>150000+35000+400000+490000+891000+382000+52000+400000+1350000+500000+200000+400000+1300000+1150000</f>
        <v>7700000</v>
      </c>
      <c r="O20" s="1054" t="s">
        <v>3178</v>
      </c>
      <c r="P20" s="1053"/>
      <c r="Q20" s="1053"/>
      <c r="R20" s="1133">
        <v>41373</v>
      </c>
      <c r="S20" s="1754">
        <f>R20+(365*3)+2</f>
        <v>42470</v>
      </c>
      <c r="T20" s="1754"/>
      <c r="U20" s="1053">
        <f>($X$1-S20)/365</f>
        <v>2.5643835616438357</v>
      </c>
      <c r="V20" s="1122">
        <f t="shared" si="7"/>
        <v>10.257534246575343</v>
      </c>
      <c r="W20" s="1053">
        <f>$H$20*$U$20*8/100</f>
        <v>1713008.2191780824</v>
      </c>
      <c r="X20" s="1053">
        <f>$K$20*$U$20*18/100</f>
        <v>3854268.4931506854</v>
      </c>
      <c r="Y20" s="1123">
        <f t="shared" si="8"/>
        <v>1713008.2191780822</v>
      </c>
      <c r="Z20" s="1123">
        <f t="shared" si="9"/>
        <v>1713008.2191780822</v>
      </c>
      <c r="AA20" s="1053">
        <f t="shared" si="10"/>
        <v>10063008.219178082</v>
      </c>
      <c r="AB20" s="1053">
        <f t="shared" si="11"/>
        <v>13115126.365392126</v>
      </c>
      <c r="AC20" s="1053">
        <f t="shared" si="0"/>
        <v>21465126.365392126</v>
      </c>
      <c r="AD20" s="1202">
        <v>8350000</v>
      </c>
      <c r="AE20" s="1202">
        <f t="shared" si="1"/>
        <v>21465126.365392126</v>
      </c>
      <c r="AF20" s="1229">
        <f t="shared" si="2"/>
        <v>0</v>
      </c>
      <c r="AG20" s="1129"/>
      <c r="AH20" s="1129"/>
      <c r="AI20" s="1129"/>
      <c r="AJ20" s="1129"/>
      <c r="AK20" s="1129"/>
      <c r="AL20" s="1129"/>
      <c r="AM20" s="1129"/>
      <c r="AN20" s="1129"/>
      <c r="AO20" s="1129"/>
      <c r="AP20" s="1129"/>
      <c r="AQ20" s="1129"/>
      <c r="AR20" s="1129"/>
      <c r="AS20" s="1129"/>
      <c r="AT20" s="1129"/>
      <c r="AU20" s="1129"/>
      <c r="AV20" s="1129"/>
      <c r="AW20" s="1129"/>
      <c r="AX20" s="1129"/>
      <c r="AY20" s="1129"/>
      <c r="AZ20" s="1129"/>
      <c r="BA20" s="1129"/>
      <c r="BB20" s="1129"/>
      <c r="BC20" s="1129"/>
      <c r="BD20" s="1129"/>
      <c r="BE20" s="1129"/>
      <c r="BF20" s="1129"/>
      <c r="BG20" s="1129"/>
    </row>
    <row r="21" spans="1:59" s="1124" customFormat="1" ht="30">
      <c r="A21" s="1228">
        <v>20</v>
      </c>
      <c r="B21" s="1053" t="s">
        <v>3017</v>
      </c>
      <c r="C21" s="1054" t="s">
        <v>3018</v>
      </c>
      <c r="D21" s="1053">
        <v>2471191</v>
      </c>
      <c r="E21" s="1053">
        <f t="shared" si="6"/>
        <v>3586207.1172897634</v>
      </c>
      <c r="F21" s="1053">
        <f t="shared" si="12"/>
        <v>6057398.1172897629</v>
      </c>
      <c r="G21" s="1053">
        <v>2471191</v>
      </c>
      <c r="H21" s="1053">
        <f>+K21</f>
        <v>2471191</v>
      </c>
      <c r="I21" s="1053">
        <f t="shared" si="13"/>
        <v>418139.05797260278</v>
      </c>
      <c r="J21" s="1053">
        <f t="shared" si="4"/>
        <v>2889330.0579726025</v>
      </c>
      <c r="K21" s="1118">
        <f>400000+701774+204152+385223+439304+340738</f>
        <v>2471191</v>
      </c>
      <c r="L21" s="1118">
        <v>50000</v>
      </c>
      <c r="M21" s="1118">
        <f t="shared" si="5"/>
        <v>2421191</v>
      </c>
      <c r="N21" s="1118">
        <v>1369417</v>
      </c>
      <c r="O21" s="1053" t="s">
        <v>3180</v>
      </c>
      <c r="P21" s="1053"/>
      <c r="Q21" s="1053"/>
      <c r="R21" s="1120">
        <v>41537</v>
      </c>
      <c r="S21" s="1754">
        <f t="shared" ref="S21:S27" si="14">R21+(365*3)+2</f>
        <v>42634</v>
      </c>
      <c r="T21" s="1754"/>
      <c r="U21" s="1053">
        <f t="shared" ref="U21:U43" si="15">($X$1-S21)/365</f>
        <v>2.1150684931506851</v>
      </c>
      <c r="V21" s="1122">
        <f t="shared" si="7"/>
        <v>8.4602739726027405</v>
      </c>
      <c r="W21" s="1053">
        <f>$H$21*$U$21*8/100</f>
        <v>418139.05797260278</v>
      </c>
      <c r="X21" s="1053">
        <f>$K$21*$U$21*18/100</f>
        <v>940812.88043835619</v>
      </c>
      <c r="Y21" s="1123">
        <f t="shared" si="8"/>
        <v>418139.05797260278</v>
      </c>
      <c r="Z21" s="1123">
        <f t="shared" si="9"/>
        <v>418139.05797260278</v>
      </c>
      <c r="AA21" s="1053">
        <f t="shared" si="10"/>
        <v>2889330.0579726025</v>
      </c>
      <c r="AB21" s="1053">
        <f t="shared" si="11"/>
        <v>3586207.1172897634</v>
      </c>
      <c r="AC21" s="1053">
        <f t="shared" si="0"/>
        <v>6057398.1172897629</v>
      </c>
      <c r="AD21" s="1202">
        <v>2471191</v>
      </c>
      <c r="AE21" s="1202">
        <f t="shared" si="1"/>
        <v>6057398.1172897629</v>
      </c>
      <c r="AF21" s="1229">
        <f t="shared" si="2"/>
        <v>0</v>
      </c>
      <c r="AG21" s="1129"/>
      <c r="AH21" s="1129"/>
      <c r="AI21" s="1129"/>
      <c r="AJ21" s="1129"/>
      <c r="AK21" s="1129"/>
      <c r="AL21" s="1129"/>
      <c r="AM21" s="1129"/>
      <c r="AN21" s="1129"/>
      <c r="AO21" s="1129"/>
      <c r="AP21" s="1129"/>
      <c r="AQ21" s="1129"/>
      <c r="AR21" s="1129"/>
      <c r="AS21" s="1129"/>
      <c r="AT21" s="1129"/>
      <c r="AU21" s="1129"/>
      <c r="AV21" s="1129"/>
      <c r="AW21" s="1129"/>
      <c r="AX21" s="1129"/>
      <c r="AY21" s="1129"/>
      <c r="AZ21" s="1129"/>
      <c r="BA21" s="1129"/>
      <c r="BB21" s="1129"/>
      <c r="BC21" s="1129"/>
      <c r="BD21" s="1129"/>
      <c r="BE21" s="1129"/>
      <c r="BF21" s="1129"/>
      <c r="BG21" s="1129"/>
    </row>
    <row r="22" spans="1:59" s="1124" customFormat="1" ht="30">
      <c r="A22" s="1228">
        <v>21</v>
      </c>
      <c r="B22" s="1053" t="s">
        <v>3019</v>
      </c>
      <c r="C22" s="1054" t="s">
        <v>3020</v>
      </c>
      <c r="D22" s="1053">
        <v>3013000</v>
      </c>
      <c r="E22" s="1053">
        <f t="shared" si="6"/>
        <v>4606313.5229269173</v>
      </c>
      <c r="F22" s="1053">
        <f t="shared" si="12"/>
        <v>7619313.5229269173</v>
      </c>
      <c r="G22" s="1053">
        <v>3013000</v>
      </c>
      <c r="H22" s="1053">
        <f>+K22</f>
        <v>3013000</v>
      </c>
      <c r="I22" s="1053">
        <f t="shared" si="13"/>
        <v>581137.53424657532</v>
      </c>
      <c r="J22" s="1053">
        <f t="shared" si="4"/>
        <v>3594137.5342465751</v>
      </c>
      <c r="K22" s="1118">
        <f>100000+200000+573000+150000+190000+900000+900000</f>
        <v>3013000</v>
      </c>
      <c r="L22" s="1118">
        <v>100000</v>
      </c>
      <c r="M22" s="1118">
        <f t="shared" si="5"/>
        <v>2913000</v>
      </c>
      <c r="N22" s="1118">
        <f>150000+190000+900000+900000</f>
        <v>2140000</v>
      </c>
      <c r="O22" s="1119">
        <v>41464</v>
      </c>
      <c r="P22" s="1053"/>
      <c r="Q22" s="1053"/>
      <c r="R22" s="1120">
        <v>41429</v>
      </c>
      <c r="S22" s="1754">
        <f t="shared" si="14"/>
        <v>42526</v>
      </c>
      <c r="T22" s="1754"/>
      <c r="U22" s="1053">
        <f t="shared" si="15"/>
        <v>2.4109589041095889</v>
      </c>
      <c r="V22" s="1122">
        <f t="shared" si="7"/>
        <v>9.6438356164383556</v>
      </c>
      <c r="W22" s="1053">
        <f>$H$22*$U$22*8/100</f>
        <v>581137.53424657532</v>
      </c>
      <c r="X22" s="1053">
        <f>$K$22*$U$22*18/100</f>
        <v>1307559.4520547944</v>
      </c>
      <c r="Y22" s="1123">
        <f t="shared" si="8"/>
        <v>581137.53424657532</v>
      </c>
      <c r="Z22" s="1123">
        <f t="shared" si="9"/>
        <v>581137.53424657532</v>
      </c>
      <c r="AA22" s="1053">
        <f t="shared" si="10"/>
        <v>3594137.5342465751</v>
      </c>
      <c r="AB22" s="1053">
        <f t="shared" si="11"/>
        <v>4606313.5229269173</v>
      </c>
      <c r="AC22" s="1053">
        <f t="shared" si="0"/>
        <v>7619313.5229269173</v>
      </c>
      <c r="AD22" s="1202">
        <v>3013000</v>
      </c>
      <c r="AE22" s="1202">
        <f t="shared" si="1"/>
        <v>7619313.5229269173</v>
      </c>
      <c r="AF22" s="1229">
        <f t="shared" si="2"/>
        <v>0</v>
      </c>
      <c r="AG22" s="1129"/>
      <c r="AH22" s="1129"/>
      <c r="AI22" s="1129"/>
      <c r="AJ22" s="1129"/>
      <c r="AK22" s="1129"/>
      <c r="AL22" s="1129"/>
      <c r="AM22" s="1129"/>
      <c r="AN22" s="1129"/>
      <c r="AO22" s="1129"/>
      <c r="AP22" s="1129"/>
      <c r="AQ22" s="1129"/>
      <c r="AR22" s="1129"/>
      <c r="AS22" s="1129"/>
      <c r="AT22" s="1129"/>
      <c r="AU22" s="1129"/>
      <c r="AV22" s="1129"/>
      <c r="AW22" s="1129"/>
      <c r="AX22" s="1129"/>
      <c r="AY22" s="1129"/>
      <c r="AZ22" s="1129"/>
      <c r="BA22" s="1129"/>
      <c r="BB22" s="1129"/>
      <c r="BC22" s="1129"/>
      <c r="BD22" s="1129"/>
      <c r="BE22" s="1129"/>
      <c r="BF22" s="1129"/>
      <c r="BG22" s="1129"/>
    </row>
    <row r="23" spans="1:59" s="1124" customFormat="1" ht="30">
      <c r="A23" s="1228">
        <v>22</v>
      </c>
      <c r="B23" s="1053" t="s">
        <v>3021</v>
      </c>
      <c r="C23" s="1054" t="s">
        <v>3022</v>
      </c>
      <c r="D23" s="1053">
        <v>5025368</v>
      </c>
      <c r="E23" s="1053">
        <f t="shared" si="6"/>
        <v>7507002.148048318</v>
      </c>
      <c r="F23" s="1053">
        <f t="shared" si="12"/>
        <v>12532370.148048319</v>
      </c>
      <c r="G23" s="1053">
        <v>4759572</v>
      </c>
      <c r="H23" s="1053">
        <f>+K23+Q23</f>
        <v>4625368</v>
      </c>
      <c r="I23" s="1053">
        <f t="shared" si="13"/>
        <v>897194.66958904103</v>
      </c>
      <c r="J23" s="1053">
        <f t="shared" si="4"/>
        <v>5522562.6695890408</v>
      </c>
      <c r="K23" s="1118">
        <f>81678+500000+400000+759763+400000+47000+53000+50000+227992+100000+56110+200000</f>
        <v>2875543</v>
      </c>
      <c r="L23" s="1118">
        <v>0</v>
      </c>
      <c r="M23" s="1118">
        <f t="shared" si="5"/>
        <v>2875543</v>
      </c>
      <c r="N23" s="1118">
        <f>400000+50000+500000+81678+47000+53000+200000+56110+200000+100000+300000+227992+484029+500000+400000</f>
        <v>3599809</v>
      </c>
      <c r="O23" s="1119">
        <v>42250</v>
      </c>
      <c r="P23" s="1053">
        <f>484029+200000+500000+400000+500000</f>
        <v>2084029</v>
      </c>
      <c r="Q23" s="1053">
        <v>1749825</v>
      </c>
      <c r="R23" s="1120">
        <v>41424</v>
      </c>
      <c r="S23" s="1754">
        <f t="shared" si="14"/>
        <v>42521</v>
      </c>
      <c r="T23" s="1754"/>
      <c r="U23" s="1053">
        <f t="shared" si="15"/>
        <v>2.4246575342465753</v>
      </c>
      <c r="V23" s="1122">
        <f t="shared" si="7"/>
        <v>9.6986301369863011</v>
      </c>
      <c r="W23" s="1053">
        <f>$H$23*$U$23*8/100</f>
        <v>897194.66958904103</v>
      </c>
      <c r="X23" s="1053">
        <f>$K$23*$U$23*18/100</f>
        <v>1254997.26</v>
      </c>
      <c r="Y23" s="1123">
        <f t="shared" si="8"/>
        <v>974783.71068493149</v>
      </c>
      <c r="Z23" s="1123">
        <f t="shared" si="9"/>
        <v>897194.66958904103</v>
      </c>
      <c r="AA23" s="1053">
        <f t="shared" si="10"/>
        <v>5922562.6695890408</v>
      </c>
      <c r="AB23" s="1053">
        <v>7507002.148048318</v>
      </c>
      <c r="AC23" s="1053">
        <f t="shared" si="0"/>
        <v>12532370.148048319</v>
      </c>
      <c r="AD23" s="1202">
        <v>5025368</v>
      </c>
      <c r="AE23" s="1202">
        <f t="shared" si="1"/>
        <v>12532370.148048319</v>
      </c>
      <c r="AF23" s="1229">
        <f t="shared" si="2"/>
        <v>0</v>
      </c>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row>
    <row r="24" spans="1:59" ht="45">
      <c r="A24" s="1230">
        <v>23</v>
      </c>
      <c r="B24" s="1056" t="s">
        <v>3023</v>
      </c>
      <c r="C24" s="1057" t="s">
        <v>3024</v>
      </c>
      <c r="D24" s="1056">
        <v>2674187</v>
      </c>
      <c r="E24" s="1056">
        <f t="shared" si="6"/>
        <v>0</v>
      </c>
      <c r="F24" s="1056">
        <f>D24+E24</f>
        <v>2674187</v>
      </c>
      <c r="G24" s="1056">
        <v>1674187</v>
      </c>
      <c r="H24" s="1056"/>
      <c r="I24" s="1056"/>
      <c r="J24" s="1056">
        <f t="shared" si="4"/>
        <v>0</v>
      </c>
      <c r="K24" s="1126"/>
      <c r="L24" s="1126">
        <f>+M24-K24</f>
        <v>0</v>
      </c>
      <c r="M24" s="1126"/>
      <c r="N24" s="1126"/>
      <c r="O24" s="1056"/>
      <c r="P24" s="1056"/>
      <c r="Q24" s="1056"/>
      <c r="R24" s="1127">
        <v>41769</v>
      </c>
      <c r="S24" s="1753">
        <f t="shared" si="14"/>
        <v>42866</v>
      </c>
      <c r="T24" s="1753"/>
      <c r="U24" s="1056">
        <f t="shared" si="15"/>
        <v>1.4794520547945205</v>
      </c>
      <c r="V24" s="1198">
        <f t="shared" si="7"/>
        <v>5.9178082191780819</v>
      </c>
      <c r="W24" s="1056">
        <f>$H$24*$U$24*8/100</f>
        <v>0</v>
      </c>
      <c r="X24" s="1056"/>
      <c r="Y24" s="1128">
        <f t="shared" si="8"/>
        <v>316506.51616438356</v>
      </c>
      <c r="Z24" s="1128">
        <f t="shared" si="9"/>
        <v>0</v>
      </c>
      <c r="AA24" s="1056">
        <f t="shared" si="10"/>
        <v>2674187</v>
      </c>
      <c r="AB24" s="1056">
        <f t="shared" si="11"/>
        <v>0</v>
      </c>
      <c r="AC24" s="1056">
        <f t="shared" si="0"/>
        <v>2674187</v>
      </c>
      <c r="AD24" s="1203"/>
      <c r="AE24" s="1203">
        <f t="shared" si="1"/>
        <v>0</v>
      </c>
      <c r="AF24" s="1231">
        <f t="shared" si="2"/>
        <v>2674187</v>
      </c>
    </row>
    <row r="25" spans="1:59" s="1124" customFormat="1">
      <c r="A25" s="1228">
        <v>24</v>
      </c>
      <c r="B25" s="1053" t="s">
        <v>3025</v>
      </c>
      <c r="C25" s="1054" t="s">
        <v>3026</v>
      </c>
      <c r="D25" s="1053">
        <v>1909458</v>
      </c>
      <c r="E25" s="1053">
        <f t="shared" si="6"/>
        <v>2044690.7092433833</v>
      </c>
      <c r="F25" s="1053">
        <f t="shared" si="12"/>
        <v>3954148.7092433833</v>
      </c>
      <c r="G25" s="1053">
        <v>1909458</v>
      </c>
      <c r="H25" s="1053"/>
      <c r="I25" s="1053"/>
      <c r="J25" s="1053">
        <f t="shared" si="4"/>
        <v>0</v>
      </c>
      <c r="K25" s="1118">
        <f>450000+450000+450000+450000+50000+4729+54729</f>
        <v>1909458</v>
      </c>
      <c r="L25" s="1118">
        <v>0</v>
      </c>
      <c r="M25" s="1118">
        <f t="shared" si="5"/>
        <v>1909458</v>
      </c>
      <c r="N25" s="1118">
        <f>450000+450000+450000+450000+50000+4729+54729</f>
        <v>1909458</v>
      </c>
      <c r="O25" s="1119">
        <v>41345</v>
      </c>
      <c r="P25" s="1053"/>
      <c r="Q25" s="1053"/>
      <c r="R25" s="1120">
        <v>41424</v>
      </c>
      <c r="S25" s="1754">
        <f t="shared" si="14"/>
        <v>42521</v>
      </c>
      <c r="T25" s="1754"/>
      <c r="U25" s="1053">
        <f t="shared" si="15"/>
        <v>2.4246575342465753</v>
      </c>
      <c r="V25" s="1122">
        <f t="shared" si="7"/>
        <v>9.6986301369863011</v>
      </c>
      <c r="W25" s="1053">
        <f>$K$25*$U$25*8/100</f>
        <v>370382.53808219178</v>
      </c>
      <c r="X25" s="1053">
        <f>$K$25*$U$25*18/100</f>
        <v>833360.7106849316</v>
      </c>
      <c r="Y25" s="1123">
        <f t="shared" si="8"/>
        <v>370382.53808219178</v>
      </c>
      <c r="Z25" s="1123">
        <f t="shared" si="9"/>
        <v>0</v>
      </c>
      <c r="AA25" s="1053">
        <f t="shared" si="10"/>
        <v>1909458</v>
      </c>
      <c r="AB25" s="1053">
        <v>2044690.7092433833</v>
      </c>
      <c r="AC25" s="1053">
        <f t="shared" si="0"/>
        <v>3954148.7092433833</v>
      </c>
      <c r="AD25" s="1202">
        <v>1909458</v>
      </c>
      <c r="AE25" s="1202">
        <f t="shared" si="1"/>
        <v>3954148.7092433833</v>
      </c>
      <c r="AF25" s="1229">
        <f t="shared" si="2"/>
        <v>0</v>
      </c>
      <c r="AG25" s="1129"/>
      <c r="AH25" s="1129"/>
      <c r="AI25" s="1129"/>
      <c r="AJ25" s="1129"/>
      <c r="AK25" s="1129"/>
      <c r="AL25" s="1129"/>
      <c r="AM25" s="1129"/>
      <c r="AN25" s="1129"/>
      <c r="AO25" s="1129"/>
      <c r="AP25" s="1129"/>
      <c r="AQ25" s="1129"/>
      <c r="AR25" s="1129"/>
      <c r="AS25" s="1129"/>
      <c r="AT25" s="1129"/>
      <c r="AU25" s="1129"/>
      <c r="AV25" s="1129"/>
      <c r="AW25" s="1129"/>
      <c r="AX25" s="1129"/>
      <c r="AY25" s="1129"/>
      <c r="AZ25" s="1129"/>
      <c r="BA25" s="1129"/>
      <c r="BB25" s="1129"/>
      <c r="BC25" s="1129"/>
      <c r="BD25" s="1129"/>
      <c r="BE25" s="1129"/>
      <c r="BF25" s="1129"/>
      <c r="BG25" s="1129"/>
    </row>
    <row r="26" spans="1:59" s="1112" customFormat="1" ht="30">
      <c r="A26" s="1225">
        <v>25</v>
      </c>
      <c r="B26" s="1050" t="s">
        <v>3027</v>
      </c>
      <c r="C26" s="1051" t="s">
        <v>3028</v>
      </c>
      <c r="D26" s="1050">
        <v>4900000</v>
      </c>
      <c r="E26" s="1050">
        <f t="shared" si="6"/>
        <v>5129896.1966872942</v>
      </c>
      <c r="F26" s="1050">
        <f t="shared" si="12"/>
        <v>10029896.196687294</v>
      </c>
      <c r="G26" s="1050">
        <v>4900000</v>
      </c>
      <c r="H26" s="1050">
        <v>3150000</v>
      </c>
      <c r="I26" s="1050"/>
      <c r="J26" s="1050">
        <f t="shared" si="4"/>
        <v>3150000</v>
      </c>
      <c r="K26" s="1107">
        <f>650000+1000000+500000+850000+400000+500000+500000+500000</f>
        <v>4900000</v>
      </c>
      <c r="L26" s="1107">
        <v>1750000</v>
      </c>
      <c r="M26" s="1107">
        <f t="shared" si="5"/>
        <v>3150000</v>
      </c>
      <c r="N26" s="1107">
        <f>650000+1000000</f>
        <v>1650000</v>
      </c>
      <c r="O26" s="1050" t="s">
        <v>3181</v>
      </c>
      <c r="P26" s="1050"/>
      <c r="Q26" s="1050"/>
      <c r="R26" s="1108">
        <v>41298</v>
      </c>
      <c r="S26" s="1755">
        <f t="shared" si="14"/>
        <v>42395</v>
      </c>
      <c r="T26" s="1755"/>
      <c r="U26" s="1050">
        <f t="shared" si="15"/>
        <v>2.7698630136986302</v>
      </c>
      <c r="V26" s="1110">
        <f t="shared" si="7"/>
        <v>11.079452054794521</v>
      </c>
      <c r="W26" s="1050">
        <f>$K$26*$U$26*8/100</f>
        <v>1085786.3013698631</v>
      </c>
      <c r="X26" s="1050">
        <f>$K$26*$U$26*18/100</f>
        <v>2443019.1780821919</v>
      </c>
      <c r="Y26" s="1111">
        <f t="shared" si="8"/>
        <v>1085786.3013698631</v>
      </c>
      <c r="Z26" s="1111">
        <f t="shared" si="9"/>
        <v>698005.47945205483</v>
      </c>
      <c r="AA26" s="1050">
        <f t="shared" si="10"/>
        <v>5598005.4794520549</v>
      </c>
      <c r="AB26" s="1050">
        <f t="shared" si="11"/>
        <v>5129896.1966872942</v>
      </c>
      <c r="AC26" s="1050">
        <f t="shared" si="0"/>
        <v>10029896.196687294</v>
      </c>
      <c r="AD26" s="1200">
        <v>3150000</v>
      </c>
      <c r="AE26" s="1200">
        <f t="shared" si="1"/>
        <v>8279896.1966872942</v>
      </c>
      <c r="AF26" s="1226">
        <f t="shared" si="2"/>
        <v>1750000</v>
      </c>
      <c r="AG26" s="1129"/>
      <c r="AH26" s="1129"/>
      <c r="AI26" s="1129"/>
      <c r="AJ26" s="1129"/>
      <c r="AK26" s="1129"/>
      <c r="AL26" s="1129"/>
      <c r="AM26" s="1129"/>
      <c r="AN26" s="1129"/>
      <c r="AO26" s="1129"/>
      <c r="AP26" s="1129"/>
      <c r="AQ26" s="1129"/>
      <c r="AR26" s="1129"/>
      <c r="AS26" s="1129"/>
      <c r="AT26" s="1129"/>
      <c r="AU26" s="1129"/>
      <c r="AV26" s="1129"/>
      <c r="AW26" s="1129"/>
      <c r="AX26" s="1129"/>
      <c r="AY26" s="1129"/>
      <c r="AZ26" s="1129"/>
      <c r="BA26" s="1129"/>
      <c r="BB26" s="1129"/>
      <c r="BC26" s="1129"/>
      <c r="BD26" s="1129"/>
      <c r="BE26" s="1129"/>
      <c r="BF26" s="1129"/>
      <c r="BG26" s="1129"/>
    </row>
    <row r="27" spans="1:59" s="1124" customFormat="1" ht="30">
      <c r="A27" s="1228">
        <v>26</v>
      </c>
      <c r="B27" s="1053" t="s">
        <v>3029</v>
      </c>
      <c r="C27" s="1054" t="s">
        <v>3030</v>
      </c>
      <c r="D27" s="1053">
        <v>3500000</v>
      </c>
      <c r="E27" s="1053">
        <f t="shared" si="6"/>
        <v>4585476.3403035365</v>
      </c>
      <c r="F27" s="1053">
        <f t="shared" si="12"/>
        <v>8085476.3403035365</v>
      </c>
      <c r="G27" s="1053">
        <v>3500000</v>
      </c>
      <c r="H27" s="1053">
        <f>+M27</f>
        <v>3500000</v>
      </c>
      <c r="I27" s="1053">
        <f>+W27</f>
        <v>429589.0410958904</v>
      </c>
      <c r="J27" s="1053">
        <f t="shared" si="4"/>
        <v>3929589.0410958906</v>
      </c>
      <c r="K27" s="1118"/>
      <c r="L27" s="1118"/>
      <c r="M27" s="1118">
        <v>3500000</v>
      </c>
      <c r="N27" s="1118"/>
      <c r="O27" s="1053"/>
      <c r="P27" s="1053"/>
      <c r="Q27" s="1053"/>
      <c r="R27" s="1120">
        <v>41749</v>
      </c>
      <c r="S27" s="1754">
        <f t="shared" si="14"/>
        <v>42846</v>
      </c>
      <c r="T27" s="1754"/>
      <c r="U27" s="1053">
        <f t="shared" si="15"/>
        <v>1.5342465753424657</v>
      </c>
      <c r="V27" s="1122">
        <f t="shared" si="7"/>
        <v>6.1369863013698627</v>
      </c>
      <c r="W27" s="1053">
        <f>$H$27*$U$27*8/100</f>
        <v>429589.0410958904</v>
      </c>
      <c r="X27" s="1053"/>
      <c r="Y27" s="1123">
        <f t="shared" si="8"/>
        <v>429589.0410958904</v>
      </c>
      <c r="Z27" s="1123">
        <f t="shared" si="9"/>
        <v>429589.0410958904</v>
      </c>
      <c r="AA27" s="1053">
        <f t="shared" si="10"/>
        <v>3929589.0410958906</v>
      </c>
      <c r="AB27" s="1053">
        <f t="shared" si="11"/>
        <v>4585476.3403035365</v>
      </c>
      <c r="AC27" s="1053">
        <f t="shared" si="0"/>
        <v>8085476.3403035365</v>
      </c>
      <c r="AD27" s="1202">
        <v>3500000</v>
      </c>
      <c r="AE27" s="1202">
        <f t="shared" si="1"/>
        <v>8085476.3403035365</v>
      </c>
      <c r="AF27" s="1229">
        <f t="shared" si="2"/>
        <v>0</v>
      </c>
      <c r="AG27" s="1129"/>
      <c r="AH27" s="1129"/>
      <c r="AI27" s="1129"/>
      <c r="AJ27" s="1129"/>
      <c r="AK27" s="1129"/>
      <c r="AL27" s="1129"/>
      <c r="AM27" s="1129"/>
      <c r="AN27" s="1129"/>
      <c r="AO27" s="1129"/>
      <c r="AP27" s="1129"/>
      <c r="AQ27" s="1129"/>
      <c r="AR27" s="1129"/>
      <c r="AS27" s="1129"/>
      <c r="AT27" s="1129"/>
      <c r="AU27" s="1129"/>
      <c r="AV27" s="1129"/>
      <c r="AW27" s="1129"/>
      <c r="AX27" s="1129"/>
      <c r="AY27" s="1129"/>
      <c r="AZ27" s="1129"/>
      <c r="BA27" s="1129"/>
      <c r="BB27" s="1129"/>
      <c r="BC27" s="1129"/>
      <c r="BD27" s="1129"/>
      <c r="BE27" s="1129"/>
      <c r="BF27" s="1129"/>
      <c r="BG27" s="1129"/>
    </row>
    <row r="28" spans="1:59" s="1124" customFormat="1" ht="30">
      <c r="A28" s="1228">
        <v>27</v>
      </c>
      <c r="B28" s="1054" t="s">
        <v>3031</v>
      </c>
      <c r="C28" s="1054" t="s">
        <v>3032</v>
      </c>
      <c r="D28" s="1053">
        <v>1484568</v>
      </c>
      <c r="E28" s="1053">
        <f t="shared" si="6"/>
        <v>1703357.3519373478</v>
      </c>
      <c r="F28" s="1053">
        <f t="shared" si="12"/>
        <v>3187925.351937348</v>
      </c>
      <c r="G28" s="1053">
        <v>1484568</v>
      </c>
      <c r="H28" s="1053">
        <v>1484568</v>
      </c>
      <c r="I28" s="1053">
        <f>W28</f>
        <v>92734.658630136997</v>
      </c>
      <c r="J28" s="1053">
        <f t="shared" si="4"/>
        <v>1577302.6586301371</v>
      </c>
      <c r="K28" s="1118">
        <f>400000+400000+684565</f>
        <v>1484565</v>
      </c>
      <c r="L28" s="1118">
        <v>0</v>
      </c>
      <c r="M28" s="1118">
        <f t="shared" si="5"/>
        <v>1484565</v>
      </c>
      <c r="N28" s="1118">
        <v>1484565</v>
      </c>
      <c r="O28" s="1119">
        <v>42401</v>
      </c>
      <c r="P28" s="1053"/>
      <c r="Q28" s="1053"/>
      <c r="R28" s="1120">
        <v>42389</v>
      </c>
      <c r="S28" s="1754">
        <f>R28+(365*2)+2</f>
        <v>43121</v>
      </c>
      <c r="T28" s="1754"/>
      <c r="U28" s="1053">
        <f t="shared" si="15"/>
        <v>0.78082191780821919</v>
      </c>
      <c r="V28" s="1122">
        <f t="shared" si="7"/>
        <v>3.1232876712328768</v>
      </c>
      <c r="W28" s="1053">
        <f>$H$28*$U$28*8/100</f>
        <v>92734.658630136997</v>
      </c>
      <c r="X28" s="1053">
        <f>$K$28*$U$28*18/100</f>
        <v>208652.56027397263</v>
      </c>
      <c r="Y28" s="1123">
        <f t="shared" si="8"/>
        <v>92734.658630136983</v>
      </c>
      <c r="Z28" s="1123">
        <f t="shared" si="9"/>
        <v>92734.658630136983</v>
      </c>
      <c r="AA28" s="1053">
        <f t="shared" si="10"/>
        <v>1577302.6586301369</v>
      </c>
      <c r="AB28" s="1053">
        <f t="shared" si="11"/>
        <v>1703357.3519373478</v>
      </c>
      <c r="AC28" s="1053">
        <f t="shared" si="0"/>
        <v>3187925.351937348</v>
      </c>
      <c r="AD28" s="1202">
        <v>1484568</v>
      </c>
      <c r="AE28" s="1202">
        <f t="shared" si="1"/>
        <v>3187925.351937348</v>
      </c>
      <c r="AF28" s="1229">
        <f t="shared" si="2"/>
        <v>0</v>
      </c>
      <c r="AG28" s="1129"/>
      <c r="AH28" s="1129"/>
      <c r="AI28" s="1129"/>
      <c r="AJ28" s="1129"/>
      <c r="AK28" s="1129"/>
      <c r="AL28" s="1129"/>
      <c r="AM28" s="1129"/>
      <c r="AN28" s="1129"/>
      <c r="AO28" s="1129"/>
      <c r="AP28" s="1129"/>
      <c r="AQ28" s="1129"/>
      <c r="AR28" s="1129"/>
      <c r="AS28" s="1129"/>
      <c r="AT28" s="1129"/>
      <c r="AU28" s="1129"/>
      <c r="AV28" s="1129"/>
      <c r="AW28" s="1129"/>
      <c r="AX28" s="1129"/>
      <c r="AY28" s="1129"/>
      <c r="AZ28" s="1129"/>
      <c r="BA28" s="1129"/>
      <c r="BB28" s="1129"/>
      <c r="BC28" s="1129"/>
      <c r="BD28" s="1129"/>
      <c r="BE28" s="1129"/>
      <c r="BF28" s="1129"/>
      <c r="BG28" s="1129"/>
    </row>
    <row r="29" spans="1:59" s="1124" customFormat="1" ht="30">
      <c r="A29" s="1228">
        <v>28</v>
      </c>
      <c r="B29" s="1053" t="s">
        <v>3033</v>
      </c>
      <c r="C29" s="1054" t="s">
        <v>3034</v>
      </c>
      <c r="D29" s="1099">
        <v>2600000</v>
      </c>
      <c r="E29" s="1053">
        <f t="shared" si="6"/>
        <v>3758602.9799010623</v>
      </c>
      <c r="F29" s="1053">
        <f t="shared" si="12"/>
        <v>6358602.9799010623</v>
      </c>
      <c r="G29" s="1053">
        <v>2600000</v>
      </c>
      <c r="H29" s="1053">
        <f>+K29</f>
        <v>2600000</v>
      </c>
      <c r="I29" s="1053">
        <f>+W29</f>
        <v>435375.34246575343</v>
      </c>
      <c r="J29" s="1053">
        <f t="shared" si="4"/>
        <v>3035375.3424657537</v>
      </c>
      <c r="K29" s="1118">
        <f>1000000+1100000+400000+100000</f>
        <v>2600000</v>
      </c>
      <c r="L29" s="1135">
        <v>1200000</v>
      </c>
      <c r="M29" s="1118">
        <f>2600000-1200000</f>
        <v>1400000</v>
      </c>
      <c r="N29" s="1118">
        <f>1000000+1100000+400000+100000</f>
        <v>2600000</v>
      </c>
      <c r="O29" s="1119">
        <v>41527</v>
      </c>
      <c r="P29" s="1053"/>
      <c r="Q29" s="1053"/>
      <c r="R29" s="1120">
        <v>41545</v>
      </c>
      <c r="S29" s="1754">
        <f>+R29+(365*3)+2</f>
        <v>42642</v>
      </c>
      <c r="T29" s="1754"/>
      <c r="U29" s="1053">
        <f t="shared" si="15"/>
        <v>2.0931506849315067</v>
      </c>
      <c r="V29" s="1122">
        <f t="shared" si="7"/>
        <v>8.3726027397260268</v>
      </c>
      <c r="W29" s="1053">
        <f>$H$29*$U$29*8/100</f>
        <v>435375.34246575343</v>
      </c>
      <c r="X29" s="1053">
        <f>$K$29*$U$29*18/100</f>
        <v>979594.52054794517</v>
      </c>
      <c r="Y29" s="1123">
        <f t="shared" si="8"/>
        <v>435375.34246575338</v>
      </c>
      <c r="Z29" s="1123">
        <f t="shared" si="9"/>
        <v>435375.34246575338</v>
      </c>
      <c r="AA29" s="1053">
        <f t="shared" si="10"/>
        <v>3035375.3424657532</v>
      </c>
      <c r="AB29" s="1053">
        <f t="shared" si="11"/>
        <v>3758602.9799010623</v>
      </c>
      <c r="AC29" s="1053">
        <f t="shared" si="0"/>
        <v>6358602.9799010623</v>
      </c>
      <c r="AD29" s="1202">
        <v>2600000</v>
      </c>
      <c r="AE29" s="1202">
        <f t="shared" si="1"/>
        <v>6358602.9799010623</v>
      </c>
      <c r="AF29" s="1229">
        <f t="shared" si="2"/>
        <v>0</v>
      </c>
      <c r="AG29" s="1129"/>
      <c r="AH29" s="1129"/>
      <c r="AI29" s="1129"/>
      <c r="AJ29" s="1129"/>
      <c r="AK29" s="1129"/>
      <c r="AL29" s="1129"/>
      <c r="AM29" s="1129"/>
      <c r="AN29" s="1129"/>
      <c r="AO29" s="1129"/>
      <c r="AP29" s="1129"/>
      <c r="AQ29" s="1129"/>
      <c r="AR29" s="1129"/>
      <c r="AS29" s="1129"/>
      <c r="AT29" s="1129"/>
      <c r="AU29" s="1129"/>
      <c r="AV29" s="1129"/>
      <c r="AW29" s="1129"/>
      <c r="AX29" s="1129"/>
      <c r="AY29" s="1129"/>
      <c r="AZ29" s="1129"/>
      <c r="BA29" s="1129"/>
      <c r="BB29" s="1129"/>
      <c r="BC29" s="1129"/>
      <c r="BD29" s="1129"/>
      <c r="BE29" s="1129"/>
      <c r="BF29" s="1129"/>
      <c r="BG29" s="1129"/>
    </row>
    <row r="30" spans="1:59" s="1124" customFormat="1">
      <c r="A30" s="1228">
        <v>29</v>
      </c>
      <c r="B30" s="1053" t="s">
        <v>3035</v>
      </c>
      <c r="C30" s="1054" t="s">
        <v>3036</v>
      </c>
      <c r="D30" s="1099">
        <v>3217500</v>
      </c>
      <c r="E30" s="1053">
        <f t="shared" si="6"/>
        <v>5078079.49</v>
      </c>
      <c r="F30" s="1053">
        <f t="shared" si="12"/>
        <v>8295579.4900000002</v>
      </c>
      <c r="G30" s="1053">
        <v>3217500</v>
      </c>
      <c r="H30" s="1053" t="e">
        <f>+L30+#REF!</f>
        <v>#REF!</v>
      </c>
      <c r="I30" s="1053"/>
      <c r="J30" s="1053" t="e">
        <f t="shared" si="4"/>
        <v>#REF!</v>
      </c>
      <c r="K30" s="1118">
        <f>+L30+M30</f>
        <v>3217500</v>
      </c>
      <c r="L30" s="1118">
        <f>1017500+500000</f>
        <v>1517500</v>
      </c>
      <c r="M30" s="1118">
        <v>1700000</v>
      </c>
      <c r="N30" s="1118">
        <v>2717500</v>
      </c>
      <c r="O30" s="1053" t="s">
        <v>3182</v>
      </c>
      <c r="P30" s="1053"/>
      <c r="Q30" s="1053"/>
      <c r="R30" s="1120">
        <v>41363</v>
      </c>
      <c r="S30" s="1754">
        <f>+R30+(365*3)+2</f>
        <v>42460</v>
      </c>
      <c r="T30" s="1754"/>
      <c r="U30" s="1053">
        <f t="shared" si="15"/>
        <v>2.591780821917808</v>
      </c>
      <c r="V30" s="1122">
        <f t="shared" si="7"/>
        <v>10.367123287671232</v>
      </c>
      <c r="W30" s="1053" t="e">
        <f>$H$30*$U$30*18/100</f>
        <v>#REF!</v>
      </c>
      <c r="X30" s="1053">
        <f>$K$30*$U$30*18/100</f>
        <v>1501029.8630136985</v>
      </c>
      <c r="Y30" s="1123">
        <f t="shared" si="8"/>
        <v>667124.38356164377</v>
      </c>
      <c r="Z30" s="1123" t="e">
        <f t="shared" si="9"/>
        <v>#REF!</v>
      </c>
      <c r="AA30" s="1053" t="e">
        <f t="shared" si="10"/>
        <v>#REF!</v>
      </c>
      <c r="AB30" s="1053">
        <v>5078079.49</v>
      </c>
      <c r="AC30" s="1053">
        <f t="shared" si="0"/>
        <v>8295579.4900000002</v>
      </c>
      <c r="AD30" s="1202">
        <v>3217500</v>
      </c>
      <c r="AE30" s="1202">
        <f t="shared" si="1"/>
        <v>8295579.4900000002</v>
      </c>
      <c r="AF30" s="1229">
        <f t="shared" si="2"/>
        <v>0</v>
      </c>
      <c r="AG30" s="1129"/>
      <c r="AH30" s="1129"/>
      <c r="AI30" s="1129"/>
      <c r="AJ30" s="1129"/>
      <c r="AK30" s="1129"/>
      <c r="AL30" s="1129"/>
      <c r="AM30" s="1129"/>
      <c r="AN30" s="1129"/>
      <c r="AO30" s="1129"/>
      <c r="AP30" s="1129"/>
      <c r="AQ30" s="1129"/>
      <c r="AR30" s="1129"/>
      <c r="AS30" s="1129"/>
      <c r="AT30" s="1129"/>
      <c r="AU30" s="1129"/>
      <c r="AV30" s="1129"/>
      <c r="AW30" s="1129"/>
      <c r="AX30" s="1129"/>
      <c r="AY30" s="1129"/>
      <c r="AZ30" s="1129"/>
      <c r="BA30" s="1129"/>
      <c r="BB30" s="1129"/>
      <c r="BC30" s="1129"/>
      <c r="BD30" s="1129"/>
      <c r="BE30" s="1129"/>
      <c r="BF30" s="1129"/>
      <c r="BG30" s="1129"/>
    </row>
    <row r="31" spans="1:59" s="1124" customFormat="1" ht="30">
      <c r="A31" s="1228">
        <v>30</v>
      </c>
      <c r="B31" s="1053" t="s">
        <v>3037</v>
      </c>
      <c r="C31" s="1054" t="s">
        <v>3038</v>
      </c>
      <c r="D31" s="1099">
        <v>3529323</v>
      </c>
      <c r="E31" s="1053">
        <f t="shared" si="6"/>
        <v>5524728.6863461435</v>
      </c>
      <c r="F31" s="1053">
        <f t="shared" si="12"/>
        <v>9054051.6863461435</v>
      </c>
      <c r="G31" s="1053">
        <v>3643840</v>
      </c>
      <c r="H31" s="1053">
        <f>+K31</f>
        <v>3529323</v>
      </c>
      <c r="I31" s="1053">
        <v>0</v>
      </c>
      <c r="J31" s="1053">
        <f t="shared" si="4"/>
        <v>3529323</v>
      </c>
      <c r="K31" s="1136">
        <f>522517+522517+400000+329222+400000+451689+451689+451689</f>
        <v>3529323</v>
      </c>
      <c r="L31" s="1136">
        <v>0</v>
      </c>
      <c r="M31" s="1118">
        <f t="shared" si="5"/>
        <v>3529323</v>
      </c>
      <c r="N31" s="1136">
        <f>522517+522517+329222+400000+451689+451689+451689</f>
        <v>3129323</v>
      </c>
      <c r="O31" s="1053" t="s">
        <v>3183</v>
      </c>
      <c r="P31" s="1053"/>
      <c r="Q31" s="1053"/>
      <c r="R31" s="1120">
        <v>41380</v>
      </c>
      <c r="S31" s="1754">
        <f>+R31+(365*3)+2</f>
        <v>42477</v>
      </c>
      <c r="T31" s="1754"/>
      <c r="U31" s="1053">
        <f t="shared" si="15"/>
        <v>2.5452054794520547</v>
      </c>
      <c r="V31" s="1122">
        <f t="shared" si="7"/>
        <v>10.180821917808219</v>
      </c>
      <c r="W31" s="1137">
        <f>$H$31*$U$31*8/100</f>
        <v>718628.17906849307</v>
      </c>
      <c r="X31" s="1137">
        <f>$K$31*$U$31*18/100</f>
        <v>1616913.4029041093</v>
      </c>
      <c r="Y31" s="1123">
        <f t="shared" si="8"/>
        <v>718628.17906849319</v>
      </c>
      <c r="Z31" s="1123">
        <f t="shared" si="9"/>
        <v>718628.17906849319</v>
      </c>
      <c r="AA31" s="1053">
        <f t="shared" si="10"/>
        <v>4247951.1790684927</v>
      </c>
      <c r="AB31" s="1053">
        <f>+H31*(1+18%/4)^V31</f>
        <v>5524728.6863461435</v>
      </c>
      <c r="AC31" s="1053">
        <f t="shared" si="0"/>
        <v>9054051.6863461435</v>
      </c>
      <c r="AD31" s="1202">
        <v>3529323</v>
      </c>
      <c r="AE31" s="1202">
        <f t="shared" si="1"/>
        <v>9054051.6863461435</v>
      </c>
      <c r="AF31" s="1229">
        <f t="shared" si="2"/>
        <v>0</v>
      </c>
      <c r="AG31" s="1129"/>
      <c r="AH31" s="1129"/>
      <c r="AI31" s="1129"/>
      <c r="AJ31" s="1129"/>
      <c r="AK31" s="1129"/>
      <c r="AL31" s="1129"/>
      <c r="AM31" s="1129"/>
      <c r="AN31" s="1129"/>
      <c r="AO31" s="1129"/>
      <c r="AP31" s="1129"/>
      <c r="AQ31" s="1129"/>
      <c r="AR31" s="1129"/>
      <c r="AS31" s="1129"/>
      <c r="AT31" s="1129"/>
      <c r="AU31" s="1129"/>
      <c r="AV31" s="1129"/>
      <c r="AW31" s="1129"/>
      <c r="AX31" s="1129"/>
      <c r="AY31" s="1129"/>
      <c r="AZ31" s="1129"/>
      <c r="BA31" s="1129"/>
      <c r="BB31" s="1129"/>
      <c r="BC31" s="1129"/>
      <c r="BD31" s="1129"/>
      <c r="BE31" s="1129"/>
      <c r="BF31" s="1129"/>
      <c r="BG31" s="1129"/>
    </row>
    <row r="32" spans="1:59" s="1112" customFormat="1" ht="30">
      <c r="A32" s="1225">
        <v>31</v>
      </c>
      <c r="B32" s="1050" t="s">
        <v>3039</v>
      </c>
      <c r="C32" s="1051" t="s">
        <v>3040</v>
      </c>
      <c r="D32" s="1138">
        <v>4616408</v>
      </c>
      <c r="E32" s="1050">
        <f t="shared" si="6"/>
        <v>6636218.1614060439</v>
      </c>
      <c r="F32" s="1050">
        <f t="shared" si="12"/>
        <v>11252626.161406044</v>
      </c>
      <c r="G32" s="1050">
        <v>4616408</v>
      </c>
      <c r="H32" s="1050">
        <v>4016408</v>
      </c>
      <c r="I32" s="1139">
        <f>W32</f>
        <v>670833.64471232879</v>
      </c>
      <c r="J32" s="1050">
        <f t="shared" si="4"/>
        <v>4687241.6447123289</v>
      </c>
      <c r="K32" s="1107">
        <f>585000+585000+575000+400000+66280+305128+700000+600000+200000+400000+200000</f>
        <v>4616408</v>
      </c>
      <c r="L32" s="1106">
        <f>200000+200000+600000</f>
        <v>1000000</v>
      </c>
      <c r="M32" s="1107">
        <f>4616408-1000000</f>
        <v>3616408</v>
      </c>
      <c r="N32" s="1107">
        <f>305128+700000+600000+200000+400000+200000</f>
        <v>2405128</v>
      </c>
      <c r="O32" s="1050" t="s">
        <v>3184</v>
      </c>
      <c r="P32" s="1050">
        <f>400000+305128+700000+66280+400000+575000+585000+585000</f>
        <v>3616408</v>
      </c>
      <c r="Q32" s="1050"/>
      <c r="R32" s="1108">
        <v>41646</v>
      </c>
      <c r="S32" s="1755">
        <f>+R32+(365*3)+2</f>
        <v>42743</v>
      </c>
      <c r="T32" s="1755"/>
      <c r="U32" s="1050">
        <f t="shared" si="15"/>
        <v>1.8164383561643835</v>
      </c>
      <c r="V32" s="1110">
        <f t="shared" si="7"/>
        <v>7.2657534246575342</v>
      </c>
      <c r="W32" s="1139">
        <f>$G$32*$U$32*8/100</f>
        <v>670833.64471232879</v>
      </c>
      <c r="X32" s="1139">
        <f>$K$32*$U$32*18/100</f>
        <v>1509375.7006027398</v>
      </c>
      <c r="Y32" s="1111">
        <f t="shared" si="8"/>
        <v>670833.64471232879</v>
      </c>
      <c r="Z32" s="1111">
        <f t="shared" si="9"/>
        <v>583644.60361643834</v>
      </c>
      <c r="AA32" s="1050">
        <f t="shared" si="10"/>
        <v>5200052.6036164388</v>
      </c>
      <c r="AB32" s="1050">
        <v>6636218.1614060439</v>
      </c>
      <c r="AC32" s="1050">
        <f t="shared" si="0"/>
        <v>11252626.161406044</v>
      </c>
      <c r="AD32" s="1200">
        <v>4016408</v>
      </c>
      <c r="AE32" s="1200">
        <f t="shared" si="1"/>
        <v>10652626.161406044</v>
      </c>
      <c r="AF32" s="1226">
        <f t="shared" si="2"/>
        <v>600000</v>
      </c>
      <c r="AG32" s="1129"/>
      <c r="AH32" s="1129"/>
      <c r="AI32" s="1129"/>
      <c r="AJ32" s="1129"/>
      <c r="AK32" s="1129"/>
      <c r="AL32" s="1129"/>
      <c r="AM32" s="1129"/>
      <c r="AN32" s="1129"/>
      <c r="AO32" s="1129"/>
      <c r="AP32" s="1129"/>
      <c r="AQ32" s="1129"/>
      <c r="AR32" s="1129"/>
      <c r="AS32" s="1129"/>
      <c r="AT32" s="1129"/>
      <c r="AU32" s="1129"/>
      <c r="AV32" s="1129"/>
      <c r="AW32" s="1129"/>
      <c r="AX32" s="1129"/>
      <c r="AY32" s="1129"/>
      <c r="AZ32" s="1129"/>
      <c r="BA32" s="1129"/>
      <c r="BB32" s="1129"/>
      <c r="BC32" s="1129"/>
      <c r="BD32" s="1129"/>
      <c r="BE32" s="1129"/>
      <c r="BF32" s="1129"/>
      <c r="BG32" s="1129"/>
    </row>
    <row r="33" spans="1:59">
      <c r="A33" s="1230">
        <v>32</v>
      </c>
      <c r="B33" s="1056" t="s">
        <v>3041</v>
      </c>
      <c r="C33" s="1057" t="s">
        <v>3042</v>
      </c>
      <c r="D33" s="1140">
        <v>3607814</v>
      </c>
      <c r="E33" s="1056">
        <f t="shared" si="6"/>
        <v>0</v>
      </c>
      <c r="F33" s="1056">
        <f t="shared" si="12"/>
        <v>3607814</v>
      </c>
      <c r="G33" s="1056">
        <v>3077634</v>
      </c>
      <c r="H33" s="1056">
        <f>+K33</f>
        <v>3607814</v>
      </c>
      <c r="I33" s="1056">
        <f>+W33</f>
        <v>413564.21304109588</v>
      </c>
      <c r="J33" s="1056">
        <f t="shared" si="4"/>
        <v>4021378.213041096</v>
      </c>
      <c r="K33" s="1130">
        <f>400000+843148+564666+1200000+600000</f>
        <v>3607814</v>
      </c>
      <c r="L33" s="1056">
        <v>0</v>
      </c>
      <c r="M33" s="1126">
        <f t="shared" si="5"/>
        <v>3607814</v>
      </c>
      <c r="N33" s="1130">
        <f>400000+843148+564666+1200000+600000</f>
        <v>3607814</v>
      </c>
      <c r="O33" s="1056" t="s">
        <v>3185</v>
      </c>
      <c r="P33" s="1056"/>
      <c r="Q33" s="1056"/>
      <c r="R33" s="1127">
        <v>41786</v>
      </c>
      <c r="S33" s="1753">
        <f t="shared" ref="S33:S41" si="16">+R33+(365*3)+2</f>
        <v>42883</v>
      </c>
      <c r="T33" s="1753"/>
      <c r="U33" s="1056">
        <f t="shared" si="15"/>
        <v>1.4328767123287671</v>
      </c>
      <c r="V33" s="1198">
        <f t="shared" si="7"/>
        <v>5.7315068493150685</v>
      </c>
      <c r="W33" s="1056">
        <f>$H$33*$U$33*8/100</f>
        <v>413564.21304109588</v>
      </c>
      <c r="X33" s="1056">
        <f>$K$33*$U$33*18/100</f>
        <v>930519.47934246575</v>
      </c>
      <c r="Y33" s="1128">
        <f t="shared" si="8"/>
        <v>413564.21304109588</v>
      </c>
      <c r="Z33" s="1128">
        <f t="shared" si="9"/>
        <v>413564.21304109588</v>
      </c>
      <c r="AA33" s="1056">
        <f t="shared" si="10"/>
        <v>4021378.213041096</v>
      </c>
      <c r="AB33" s="1056">
        <v>0</v>
      </c>
      <c r="AC33" s="1056">
        <f t="shared" si="0"/>
        <v>3607814</v>
      </c>
      <c r="AD33" s="1203">
        <v>0</v>
      </c>
      <c r="AE33" s="1203">
        <f t="shared" si="1"/>
        <v>0</v>
      </c>
      <c r="AF33" s="1231">
        <f t="shared" si="2"/>
        <v>3607814</v>
      </c>
    </row>
    <row r="34" spans="1:59" ht="75">
      <c r="A34" s="1230">
        <v>33</v>
      </c>
      <c r="B34" s="1056" t="s">
        <v>3043</v>
      </c>
      <c r="C34" s="1057" t="s">
        <v>3044</v>
      </c>
      <c r="D34" s="1140">
        <v>3957148</v>
      </c>
      <c r="E34" s="1056">
        <f t="shared" si="6"/>
        <v>0</v>
      </c>
      <c r="F34" s="1056">
        <f t="shared" si="12"/>
        <v>3957148</v>
      </c>
      <c r="G34" s="1056">
        <v>3957148</v>
      </c>
      <c r="H34" s="1056"/>
      <c r="I34" s="1056"/>
      <c r="J34" s="1056">
        <f t="shared" si="4"/>
        <v>0</v>
      </c>
      <c r="K34" s="1126">
        <f>300000+400000+300000+30000+350000+50000+720000+564000+200000+643148+11000+389000</f>
        <v>3957148</v>
      </c>
      <c r="L34" s="1130">
        <v>41000</v>
      </c>
      <c r="M34" s="1126">
        <f>3957148-41000</f>
        <v>3916148</v>
      </c>
      <c r="N34" s="1126">
        <f>300000+400000+300000+30000+350000+50000+720000+564000+200000+643148+11000+389000</f>
        <v>3957148</v>
      </c>
      <c r="O34" s="1056" t="s">
        <v>3186</v>
      </c>
      <c r="P34" s="1056"/>
      <c r="Q34" s="1056"/>
      <c r="R34" s="1127">
        <v>41817</v>
      </c>
      <c r="S34" s="1753">
        <f t="shared" si="16"/>
        <v>42914</v>
      </c>
      <c r="T34" s="1753"/>
      <c r="U34" s="1056">
        <f t="shared" si="15"/>
        <v>1.3479452054794521</v>
      </c>
      <c r="V34" s="1198">
        <f t="shared" si="7"/>
        <v>5.3917808219178083</v>
      </c>
      <c r="W34" s="1056">
        <f>$K$34*$U$34*8/100</f>
        <v>426721.49391780823</v>
      </c>
      <c r="X34" s="1056">
        <f>$K$34*$U$34*18/100</f>
        <v>960123.36131506856</v>
      </c>
      <c r="Y34" s="1128">
        <f t="shared" si="8"/>
        <v>426721.49391780829</v>
      </c>
      <c r="Z34" s="1128">
        <f t="shared" si="9"/>
        <v>0</v>
      </c>
      <c r="AA34" s="1056">
        <f t="shared" si="10"/>
        <v>3957148</v>
      </c>
      <c r="AB34" s="1056">
        <f t="shared" ref="AB34:AB82" si="17">+H34*(1+18%/4)^V34</f>
        <v>0</v>
      </c>
      <c r="AC34" s="1056">
        <f t="shared" si="0"/>
        <v>3957148</v>
      </c>
      <c r="AD34" s="1203"/>
      <c r="AE34" s="1203">
        <f t="shared" si="1"/>
        <v>0</v>
      </c>
      <c r="AF34" s="1231">
        <f t="shared" si="2"/>
        <v>3957148</v>
      </c>
    </row>
    <row r="35" spans="1:59" ht="30">
      <c r="A35" s="1230">
        <v>34</v>
      </c>
      <c r="B35" s="1056" t="s">
        <v>3045</v>
      </c>
      <c r="C35" s="1057" t="s">
        <v>3046</v>
      </c>
      <c r="D35" s="1140">
        <v>2000000</v>
      </c>
      <c r="E35" s="1056">
        <f t="shared" si="6"/>
        <v>0</v>
      </c>
      <c r="F35" s="1056">
        <f t="shared" si="12"/>
        <v>2000000</v>
      </c>
      <c r="G35" s="1056">
        <v>2000000</v>
      </c>
      <c r="H35" s="1056">
        <v>0</v>
      </c>
      <c r="I35" s="1056"/>
      <c r="J35" s="1056">
        <f t="shared" si="4"/>
        <v>0</v>
      </c>
      <c r="K35" s="1126">
        <v>2000000</v>
      </c>
      <c r="L35" s="1126">
        <v>0</v>
      </c>
      <c r="M35" s="1126">
        <f t="shared" si="5"/>
        <v>2000000</v>
      </c>
      <c r="N35" s="1126">
        <f>2000000</f>
        <v>2000000</v>
      </c>
      <c r="O35" s="1134">
        <v>41770</v>
      </c>
      <c r="P35" s="1056"/>
      <c r="Q35" s="1056"/>
      <c r="R35" s="1127">
        <v>41948</v>
      </c>
      <c r="S35" s="1753">
        <f t="shared" si="16"/>
        <v>43045</v>
      </c>
      <c r="T35" s="1753"/>
      <c r="U35" s="1056">
        <f t="shared" si="15"/>
        <v>0.989041095890411</v>
      </c>
      <c r="V35" s="1198">
        <f t="shared" si="7"/>
        <v>3.956164383561644</v>
      </c>
      <c r="W35" s="1056">
        <f>$K$35*$U$35*8/100</f>
        <v>158246.57534246577</v>
      </c>
      <c r="X35" s="1056">
        <f>$K$35*$U$35*18/100</f>
        <v>356054.79452054796</v>
      </c>
      <c r="Y35" s="1128">
        <f t="shared" si="8"/>
        <v>158246.57534246577</v>
      </c>
      <c r="Z35" s="1128">
        <f t="shared" si="9"/>
        <v>0</v>
      </c>
      <c r="AA35" s="1056">
        <f t="shared" si="10"/>
        <v>2000000</v>
      </c>
      <c r="AB35" s="1056">
        <f t="shared" si="17"/>
        <v>0</v>
      </c>
      <c r="AC35" s="1056">
        <f t="shared" si="0"/>
        <v>2000000</v>
      </c>
      <c r="AD35" s="1203">
        <v>0</v>
      </c>
      <c r="AE35" s="1203">
        <f t="shared" si="1"/>
        <v>0</v>
      </c>
      <c r="AF35" s="1231">
        <f t="shared" si="2"/>
        <v>2000000</v>
      </c>
    </row>
    <row r="36" spans="1:59" s="1124" customFormat="1" ht="30">
      <c r="A36" s="1228">
        <v>35</v>
      </c>
      <c r="B36" s="1053" t="s">
        <v>3201</v>
      </c>
      <c r="C36" s="1054" t="s">
        <v>3048</v>
      </c>
      <c r="D36" s="1099">
        <v>1300000</v>
      </c>
      <c r="E36" s="1053">
        <f t="shared" si="6"/>
        <v>1883839.6179136727</v>
      </c>
      <c r="F36" s="1053">
        <f t="shared" si="12"/>
        <v>3183839.6179136727</v>
      </c>
      <c r="G36" s="1053">
        <v>1300000</v>
      </c>
      <c r="H36" s="1053">
        <f>+K36</f>
        <v>1300000</v>
      </c>
      <c r="I36" s="1053">
        <f>+W36</f>
        <v>219112.32876712325</v>
      </c>
      <c r="J36" s="1053">
        <f t="shared" si="4"/>
        <v>1519112.3287671232</v>
      </c>
      <c r="K36" s="1118">
        <f>260000+300000+700000+40000</f>
        <v>1300000</v>
      </c>
      <c r="L36" s="1135">
        <f>260000+40000</f>
        <v>300000</v>
      </c>
      <c r="M36" s="1118">
        <f>+K36-L36</f>
        <v>1000000</v>
      </c>
      <c r="N36" s="1118">
        <f>260000+300000+40000+700000</f>
        <v>1300000</v>
      </c>
      <c r="O36" s="1053" t="s">
        <v>3187</v>
      </c>
      <c r="P36" s="1053"/>
      <c r="Q36" s="1053"/>
      <c r="R36" s="1120">
        <v>41540</v>
      </c>
      <c r="S36" s="1754">
        <f t="shared" si="16"/>
        <v>42637</v>
      </c>
      <c r="T36" s="1754"/>
      <c r="U36" s="1053">
        <f t="shared" si="15"/>
        <v>2.106849315068493</v>
      </c>
      <c r="V36" s="1122">
        <f t="shared" si="7"/>
        <v>8.4273972602739722</v>
      </c>
      <c r="W36" s="1053">
        <f>$H$36*$U$36*8/100</f>
        <v>219112.32876712325</v>
      </c>
      <c r="X36" s="1053">
        <f>$K$36*$U$36*18/100</f>
        <v>493002.7397260273</v>
      </c>
      <c r="Y36" s="1123">
        <f t="shared" si="8"/>
        <v>219112.32876712328</v>
      </c>
      <c r="Z36" s="1123">
        <f t="shared" si="9"/>
        <v>219112.32876712328</v>
      </c>
      <c r="AA36" s="1053">
        <f t="shared" si="10"/>
        <v>1519112.3287671232</v>
      </c>
      <c r="AB36" s="1053">
        <f t="shared" si="17"/>
        <v>1883839.6179136727</v>
      </c>
      <c r="AC36" s="1053">
        <f t="shared" si="0"/>
        <v>3183839.6179136727</v>
      </c>
      <c r="AD36" s="1202">
        <v>1300000</v>
      </c>
      <c r="AE36" s="1202">
        <f t="shared" si="1"/>
        <v>3183839.6179136727</v>
      </c>
      <c r="AF36" s="1229">
        <f t="shared" si="2"/>
        <v>0</v>
      </c>
      <c r="AG36" s="1129"/>
      <c r="AH36" s="1129"/>
      <c r="AI36" s="1129"/>
      <c r="AJ36" s="1129"/>
      <c r="AK36" s="1129"/>
      <c r="AL36" s="1129"/>
      <c r="AM36" s="1129"/>
      <c r="AN36" s="1129"/>
      <c r="AO36" s="1129"/>
      <c r="AP36" s="1129"/>
      <c r="AQ36" s="1129"/>
      <c r="AR36" s="1129"/>
      <c r="AS36" s="1129"/>
      <c r="AT36" s="1129"/>
      <c r="AU36" s="1129"/>
      <c r="AV36" s="1129"/>
      <c r="AW36" s="1129"/>
      <c r="AX36" s="1129"/>
      <c r="AY36" s="1129"/>
      <c r="AZ36" s="1129"/>
      <c r="BA36" s="1129"/>
      <c r="BB36" s="1129"/>
      <c r="BC36" s="1129"/>
      <c r="BD36" s="1129"/>
      <c r="BE36" s="1129"/>
      <c r="BF36" s="1129"/>
      <c r="BG36" s="1129"/>
    </row>
    <row r="37" spans="1:59" s="1124" customFormat="1" ht="30">
      <c r="A37" s="1228">
        <v>36</v>
      </c>
      <c r="B37" s="1053" t="s">
        <v>3049</v>
      </c>
      <c r="C37" s="1054" t="s">
        <v>3050</v>
      </c>
      <c r="D37" s="1099">
        <v>2000000</v>
      </c>
      <c r="E37" s="1053">
        <f t="shared" si="6"/>
        <v>2612699.4070427809</v>
      </c>
      <c r="F37" s="1053">
        <f t="shared" si="12"/>
        <v>4612699.4070427809</v>
      </c>
      <c r="G37" s="1053">
        <v>2000000</v>
      </c>
      <c r="H37" s="1053">
        <v>2000000</v>
      </c>
      <c r="I37" s="1053"/>
      <c r="J37" s="1053">
        <f t="shared" si="4"/>
        <v>2000000</v>
      </c>
      <c r="K37" s="1135">
        <f>2000000</f>
        <v>2000000</v>
      </c>
      <c r="L37" s="1135">
        <v>2000000</v>
      </c>
      <c r="M37" s="1118">
        <f t="shared" si="5"/>
        <v>0</v>
      </c>
      <c r="N37" s="1135">
        <f>2000000</f>
        <v>2000000</v>
      </c>
      <c r="O37" s="1053" t="s">
        <v>3188</v>
      </c>
      <c r="P37" s="1053"/>
      <c r="Q37" s="1053"/>
      <c r="R37" s="1120">
        <v>41755</v>
      </c>
      <c r="S37" s="1754">
        <f t="shared" si="16"/>
        <v>42852</v>
      </c>
      <c r="T37" s="1754"/>
      <c r="U37" s="1053">
        <f t="shared" si="15"/>
        <v>1.5178082191780822</v>
      </c>
      <c r="V37" s="1122">
        <f t="shared" si="7"/>
        <v>6.0712328767123287</v>
      </c>
      <c r="W37" s="1053">
        <f>$K$37*$U$37*8/100</f>
        <v>242849.31506849316</v>
      </c>
      <c r="X37" s="1053">
        <f>$K$37*$U$37*18/100</f>
        <v>546410.95890410955</v>
      </c>
      <c r="Y37" s="1123">
        <f t="shared" si="8"/>
        <v>242849.31506849316</v>
      </c>
      <c r="Z37" s="1123">
        <f t="shared" si="9"/>
        <v>242849.31506849316</v>
      </c>
      <c r="AA37" s="1053">
        <f t="shared" si="10"/>
        <v>2242849.3150684931</v>
      </c>
      <c r="AB37" s="1053">
        <f t="shared" si="17"/>
        <v>2612699.4070427809</v>
      </c>
      <c r="AC37" s="1053">
        <f t="shared" si="0"/>
        <v>4612699.4070427809</v>
      </c>
      <c r="AD37" s="1202">
        <v>2000000</v>
      </c>
      <c r="AE37" s="1202">
        <f t="shared" si="1"/>
        <v>4612699.4070427809</v>
      </c>
      <c r="AF37" s="1229">
        <f t="shared" si="2"/>
        <v>0</v>
      </c>
      <c r="AG37" s="1129"/>
      <c r="AH37" s="1129"/>
      <c r="AI37" s="1129"/>
      <c r="AJ37" s="1129"/>
      <c r="AK37" s="1129"/>
      <c r="AL37" s="1129"/>
      <c r="AM37" s="1129"/>
      <c r="AN37" s="1129"/>
      <c r="AO37" s="1129"/>
      <c r="AP37" s="1129"/>
      <c r="AQ37" s="1129"/>
      <c r="AR37" s="1129"/>
      <c r="AS37" s="1129"/>
      <c r="AT37" s="1129"/>
      <c r="AU37" s="1129"/>
      <c r="AV37" s="1129"/>
      <c r="AW37" s="1129"/>
      <c r="AX37" s="1129"/>
      <c r="AY37" s="1129"/>
      <c r="AZ37" s="1129"/>
      <c r="BA37" s="1129"/>
      <c r="BB37" s="1129"/>
      <c r="BC37" s="1129"/>
      <c r="BD37" s="1129"/>
      <c r="BE37" s="1129"/>
      <c r="BF37" s="1129"/>
      <c r="BG37" s="1129"/>
    </row>
    <row r="38" spans="1:59" s="1124" customFormat="1">
      <c r="A38" s="1228">
        <v>37</v>
      </c>
      <c r="B38" s="1053" t="s">
        <v>3051</v>
      </c>
      <c r="C38" s="1054" t="s">
        <v>3052</v>
      </c>
      <c r="D38" s="1099">
        <v>7000000</v>
      </c>
      <c r="E38" s="1053">
        <f t="shared" si="6"/>
        <v>7050833.2508680709</v>
      </c>
      <c r="F38" s="1053">
        <f t="shared" si="12"/>
        <v>14050833.250868071</v>
      </c>
      <c r="G38" s="1053">
        <v>7000000</v>
      </c>
      <c r="H38" s="1053">
        <f>+K38</f>
        <v>7000000</v>
      </c>
      <c r="I38" s="1053">
        <f>+W38</f>
        <v>1357808.219178082</v>
      </c>
      <c r="J38" s="1053">
        <f t="shared" si="4"/>
        <v>8357808.2191780824</v>
      </c>
      <c r="K38" s="1135">
        <f>2500000+2500000+1200000+300000+500000</f>
        <v>7000000</v>
      </c>
      <c r="L38" s="1135">
        <v>0</v>
      </c>
      <c r="M38" s="1118">
        <f t="shared" si="5"/>
        <v>7000000</v>
      </c>
      <c r="N38" s="1135">
        <f>2500000+2500000+1200000+300000+500000</f>
        <v>7000000</v>
      </c>
      <c r="O38" s="1053"/>
      <c r="P38" s="1053"/>
      <c r="Q38" s="1053"/>
      <c r="R38" s="1120">
        <v>41424</v>
      </c>
      <c r="S38" s="1754">
        <f t="shared" si="16"/>
        <v>42521</v>
      </c>
      <c r="T38" s="1754"/>
      <c r="U38" s="1053">
        <f t="shared" si="15"/>
        <v>2.4246575342465753</v>
      </c>
      <c r="V38" s="1122">
        <f t="shared" si="7"/>
        <v>9.6986301369863011</v>
      </c>
      <c r="W38" s="1053">
        <f>$H$38*$U$38*8/100</f>
        <v>1357808.219178082</v>
      </c>
      <c r="X38" s="1053">
        <f>$K$38*$U$38*18/100</f>
        <v>3055068.493150685</v>
      </c>
      <c r="Y38" s="1123">
        <f t="shared" si="8"/>
        <v>1357808.2191780822</v>
      </c>
      <c r="Z38" s="1123">
        <f t="shared" si="9"/>
        <v>1357808.2191780822</v>
      </c>
      <c r="AA38" s="1053">
        <f t="shared" si="10"/>
        <v>8357808.2191780824</v>
      </c>
      <c r="AB38" s="1053">
        <v>7050833.2508680709</v>
      </c>
      <c r="AC38" s="1053">
        <f t="shared" si="0"/>
        <v>14050833.250868071</v>
      </c>
      <c r="AD38" s="1202">
        <v>7000000</v>
      </c>
      <c r="AE38" s="1202">
        <f t="shared" si="1"/>
        <v>14050833.250868071</v>
      </c>
      <c r="AF38" s="1229">
        <f t="shared" si="2"/>
        <v>0</v>
      </c>
      <c r="AG38" s="1129"/>
      <c r="AH38" s="1129"/>
      <c r="AI38" s="1129"/>
      <c r="AJ38" s="1129"/>
      <c r="AK38" s="1129"/>
      <c r="AL38" s="1129"/>
      <c r="AM38" s="1129"/>
      <c r="AN38" s="1129"/>
      <c r="AO38" s="1129"/>
      <c r="AP38" s="1129"/>
      <c r="AQ38" s="1129"/>
      <c r="AR38" s="1129"/>
      <c r="AS38" s="1129"/>
      <c r="AT38" s="1129"/>
      <c r="AU38" s="1129"/>
      <c r="AV38" s="1129"/>
      <c r="AW38" s="1129"/>
      <c r="AX38" s="1129"/>
      <c r="AY38" s="1129"/>
      <c r="AZ38" s="1129"/>
      <c r="BA38" s="1129"/>
      <c r="BB38" s="1129"/>
      <c r="BC38" s="1129"/>
      <c r="BD38" s="1129"/>
      <c r="BE38" s="1129"/>
      <c r="BF38" s="1129"/>
      <c r="BG38" s="1129"/>
    </row>
    <row r="39" spans="1:59" ht="30">
      <c r="A39" s="1230">
        <v>38</v>
      </c>
      <c r="B39" s="1056" t="s">
        <v>3053</v>
      </c>
      <c r="C39" s="1057" t="s">
        <v>3054</v>
      </c>
      <c r="D39" s="1140">
        <v>2209839</v>
      </c>
      <c r="E39" s="1056">
        <f t="shared" si="6"/>
        <v>0</v>
      </c>
      <c r="F39" s="1056">
        <f t="shared" si="12"/>
        <v>2209839</v>
      </c>
      <c r="G39" s="1056">
        <v>2209839</v>
      </c>
      <c r="H39" s="1056"/>
      <c r="I39" s="1056"/>
      <c r="J39" s="1056">
        <f t="shared" si="4"/>
        <v>0</v>
      </c>
      <c r="K39" s="1126">
        <f>585557+555532+668750+400000</f>
        <v>2209839</v>
      </c>
      <c r="L39" s="1126">
        <v>0</v>
      </c>
      <c r="M39" s="1126">
        <f t="shared" si="5"/>
        <v>2209839</v>
      </c>
      <c r="N39" s="1126">
        <v>0</v>
      </c>
      <c r="O39" s="1056" t="s">
        <v>3189</v>
      </c>
      <c r="P39" s="1056"/>
      <c r="Q39" s="1056"/>
      <c r="R39" s="1127">
        <v>41424</v>
      </c>
      <c r="S39" s="1753">
        <f t="shared" si="16"/>
        <v>42521</v>
      </c>
      <c r="T39" s="1753"/>
      <c r="U39" s="1056">
        <f t="shared" si="15"/>
        <v>2.4246575342465753</v>
      </c>
      <c r="V39" s="1198">
        <f t="shared" si="7"/>
        <v>9.6986301369863011</v>
      </c>
      <c r="W39" s="1056">
        <f>K39*U39*8/100</f>
        <v>428648.22246575338</v>
      </c>
      <c r="X39" s="1056">
        <f>K39*U39*18/100</f>
        <v>964458.50054794515</v>
      </c>
      <c r="Y39" s="1128">
        <f t="shared" si="8"/>
        <v>428648.22246575338</v>
      </c>
      <c r="Z39" s="1128">
        <f t="shared" si="9"/>
        <v>0</v>
      </c>
      <c r="AA39" s="1056">
        <f t="shared" si="10"/>
        <v>2209839</v>
      </c>
      <c r="AB39" s="1056">
        <f t="shared" si="17"/>
        <v>0</v>
      </c>
      <c r="AC39" s="1056">
        <f t="shared" si="0"/>
        <v>2209839</v>
      </c>
      <c r="AD39" s="1203"/>
      <c r="AE39" s="1203">
        <f t="shared" si="1"/>
        <v>0</v>
      </c>
      <c r="AF39" s="1231">
        <f t="shared" si="2"/>
        <v>2209839</v>
      </c>
    </row>
    <row r="40" spans="1:59" ht="30">
      <c r="A40" s="1230">
        <v>39</v>
      </c>
      <c r="B40" s="1056" t="s">
        <v>3055</v>
      </c>
      <c r="C40" s="1057" t="s">
        <v>3056</v>
      </c>
      <c r="D40" s="1140">
        <v>1700000</v>
      </c>
      <c r="E40" s="1056">
        <f t="shared" si="6"/>
        <v>0</v>
      </c>
      <c r="F40" s="1056">
        <f t="shared" si="12"/>
        <v>1700000</v>
      </c>
      <c r="G40" s="1056">
        <v>1700000</v>
      </c>
      <c r="H40" s="1056"/>
      <c r="I40" s="1056"/>
      <c r="J40" s="1056">
        <f t="shared" si="4"/>
        <v>0</v>
      </c>
      <c r="K40" s="1130">
        <v>1700000</v>
      </c>
      <c r="L40" s="1130">
        <v>0</v>
      </c>
      <c r="M40" s="1126">
        <f t="shared" si="5"/>
        <v>1700000</v>
      </c>
      <c r="N40" s="1130">
        <v>1700000</v>
      </c>
      <c r="O40" s="1056"/>
      <c r="P40" s="1056"/>
      <c r="Q40" s="1056"/>
      <c r="R40" s="1127">
        <v>41268</v>
      </c>
      <c r="S40" s="1753">
        <f t="shared" si="16"/>
        <v>42365</v>
      </c>
      <c r="T40" s="1753"/>
      <c r="U40" s="1056">
        <f t="shared" si="15"/>
        <v>2.8520547945205479</v>
      </c>
      <c r="V40" s="1198">
        <f t="shared" si="7"/>
        <v>11.408219178082192</v>
      </c>
      <c r="W40" s="1056">
        <f>$K$40*$U$40*8/100</f>
        <v>387879.45205479453</v>
      </c>
      <c r="X40" s="1056">
        <f>$K$40*$U$40*18/100</f>
        <v>872728.76712328766</v>
      </c>
      <c r="Y40" s="1128">
        <f t="shared" si="8"/>
        <v>387879.45205479453</v>
      </c>
      <c r="Z40" s="1128">
        <f t="shared" si="9"/>
        <v>0</v>
      </c>
      <c r="AA40" s="1056">
        <f t="shared" si="10"/>
        <v>1700000</v>
      </c>
      <c r="AB40" s="1056">
        <f t="shared" si="17"/>
        <v>0</v>
      </c>
      <c r="AC40" s="1056">
        <f t="shared" si="0"/>
        <v>1700000</v>
      </c>
      <c r="AD40" s="1203"/>
      <c r="AE40" s="1203">
        <f t="shared" si="1"/>
        <v>0</v>
      </c>
      <c r="AF40" s="1231">
        <f t="shared" si="2"/>
        <v>1700000</v>
      </c>
    </row>
    <row r="41" spans="1:59" ht="45">
      <c r="A41" s="1230">
        <v>40</v>
      </c>
      <c r="B41" s="1056" t="s">
        <v>3057</v>
      </c>
      <c r="C41" s="1057" t="s">
        <v>3058</v>
      </c>
      <c r="D41" s="1140">
        <v>1700000</v>
      </c>
      <c r="E41" s="1056">
        <f t="shared" si="6"/>
        <v>0</v>
      </c>
      <c r="F41" s="1056">
        <f t="shared" si="12"/>
        <v>1700000</v>
      </c>
      <c r="G41" s="1056">
        <v>1700000</v>
      </c>
      <c r="H41" s="1056"/>
      <c r="I41" s="1056"/>
      <c r="J41" s="1056">
        <f t="shared" si="4"/>
        <v>0</v>
      </c>
      <c r="K41" s="1130" t="s">
        <v>3190</v>
      </c>
      <c r="L41" s="1130">
        <v>0</v>
      </c>
      <c r="M41" s="1126" t="e">
        <f t="shared" si="5"/>
        <v>#VALUE!</v>
      </c>
      <c r="N41" s="1130">
        <v>1700000</v>
      </c>
      <c r="O41" s="1056"/>
      <c r="P41" s="1056"/>
      <c r="Q41" s="1056"/>
      <c r="R41" s="1127">
        <v>41268</v>
      </c>
      <c r="S41" s="1753">
        <f t="shared" si="16"/>
        <v>42365</v>
      </c>
      <c r="T41" s="1753"/>
      <c r="U41" s="1056">
        <f t="shared" si="15"/>
        <v>2.8520547945205479</v>
      </c>
      <c r="V41" s="1198">
        <f t="shared" si="7"/>
        <v>11.408219178082192</v>
      </c>
      <c r="W41" s="1056" t="e">
        <f>$K$41*$U$41*8/100</f>
        <v>#VALUE!</v>
      </c>
      <c r="X41" s="1056" t="e">
        <f>$K$41*$U$41*18/100</f>
        <v>#VALUE!</v>
      </c>
      <c r="Y41" s="1128">
        <f t="shared" si="8"/>
        <v>387879.45205479453</v>
      </c>
      <c r="Z41" s="1128">
        <f t="shared" si="9"/>
        <v>0</v>
      </c>
      <c r="AA41" s="1056">
        <f t="shared" si="10"/>
        <v>1700000</v>
      </c>
      <c r="AB41" s="1056">
        <f t="shared" si="17"/>
        <v>0</v>
      </c>
      <c r="AC41" s="1056">
        <f t="shared" si="0"/>
        <v>1700000</v>
      </c>
      <c r="AD41" s="1203"/>
      <c r="AE41" s="1203">
        <f t="shared" si="1"/>
        <v>0</v>
      </c>
      <c r="AF41" s="1231">
        <f t="shared" si="2"/>
        <v>1700000</v>
      </c>
    </row>
    <row r="42" spans="1:59" ht="30">
      <c r="A42" s="1230">
        <v>41</v>
      </c>
      <c r="B42" s="1056" t="s">
        <v>3059</v>
      </c>
      <c r="C42" s="1057" t="s">
        <v>3060</v>
      </c>
      <c r="D42" s="1140">
        <v>5181947</v>
      </c>
      <c r="E42" s="1056">
        <f t="shared" si="6"/>
        <v>0</v>
      </c>
      <c r="F42" s="1056">
        <f t="shared" si="12"/>
        <v>5181947</v>
      </c>
      <c r="G42" s="1056">
        <v>5181947</v>
      </c>
      <c r="H42" s="1141">
        <v>0</v>
      </c>
      <c r="I42" s="1056"/>
      <c r="J42" s="1056">
        <f t="shared" si="4"/>
        <v>0</v>
      </c>
      <c r="K42" s="1126">
        <f>400000+1000000</f>
        <v>1400000</v>
      </c>
      <c r="L42" s="1130">
        <v>0</v>
      </c>
      <c r="M42" s="1126">
        <v>1400000</v>
      </c>
      <c r="N42" s="1126">
        <f>400000+1000000</f>
        <v>1400000</v>
      </c>
      <c r="O42" s="1056"/>
      <c r="P42" s="1056"/>
      <c r="Q42" s="1056"/>
      <c r="R42" s="1127">
        <v>42552</v>
      </c>
      <c r="S42" s="1753">
        <f>+R42+(365*2)+2</f>
        <v>43284</v>
      </c>
      <c r="T42" s="1753"/>
      <c r="U42" s="1056">
        <f t="shared" si="15"/>
        <v>0.33424657534246577</v>
      </c>
      <c r="V42" s="1198">
        <f t="shared" si="7"/>
        <v>1.3369863013698631</v>
      </c>
      <c r="W42" s="1141">
        <f>$K$42*$U$42*8/100</f>
        <v>37435.61643835617</v>
      </c>
      <c r="X42" s="1141">
        <f>$K$42*$U$42*18/100</f>
        <v>84230.136986301368</v>
      </c>
      <c r="Y42" s="1128">
        <f t="shared" si="8"/>
        <v>138563.84306849315</v>
      </c>
      <c r="Z42" s="1128">
        <f t="shared" si="9"/>
        <v>0</v>
      </c>
      <c r="AA42" s="1056">
        <f t="shared" si="10"/>
        <v>5181947</v>
      </c>
      <c r="AB42" s="1056">
        <f t="shared" si="17"/>
        <v>0</v>
      </c>
      <c r="AC42" s="1056">
        <f t="shared" si="0"/>
        <v>5181947</v>
      </c>
      <c r="AD42" s="1203">
        <v>0</v>
      </c>
      <c r="AE42" s="1203">
        <f t="shared" si="1"/>
        <v>0</v>
      </c>
      <c r="AF42" s="1231">
        <f t="shared" si="2"/>
        <v>5181947</v>
      </c>
    </row>
    <row r="43" spans="1:59" s="1112" customFormat="1" ht="30">
      <c r="A43" s="1225">
        <v>42</v>
      </c>
      <c r="B43" s="1050" t="s">
        <v>3061</v>
      </c>
      <c r="C43" s="1051" t="s">
        <v>3062</v>
      </c>
      <c r="D43" s="1138">
        <v>992688</v>
      </c>
      <c r="E43" s="1050">
        <f t="shared" si="6"/>
        <v>1300801.5450612521</v>
      </c>
      <c r="F43" s="1050">
        <f t="shared" si="12"/>
        <v>2293489.5450612521</v>
      </c>
      <c r="G43" s="1050">
        <v>992688</v>
      </c>
      <c r="H43" s="1050">
        <v>842688</v>
      </c>
      <c r="I43" s="1050"/>
      <c r="J43" s="1050">
        <f t="shared" si="4"/>
        <v>842688</v>
      </c>
      <c r="K43" s="1107">
        <f>842688</f>
        <v>842688</v>
      </c>
      <c r="L43" s="1107">
        <v>0</v>
      </c>
      <c r="M43" s="1107">
        <f>+K43-L43</f>
        <v>842688</v>
      </c>
      <c r="N43" s="1107">
        <v>842688</v>
      </c>
      <c r="O43" s="1050" t="s">
        <v>3191</v>
      </c>
      <c r="P43" s="1139"/>
      <c r="Q43" s="1050"/>
      <c r="R43" s="1108">
        <v>41409</v>
      </c>
      <c r="S43" s="1755">
        <f>+R43+(365*3)+2</f>
        <v>42506</v>
      </c>
      <c r="T43" s="1755"/>
      <c r="U43" s="1050">
        <f t="shared" si="15"/>
        <v>2.4657534246575343</v>
      </c>
      <c r="V43" s="1110">
        <f t="shared" si="7"/>
        <v>9.8630136986301373</v>
      </c>
      <c r="W43" s="1139">
        <f>$K$43*$U$43*8/100</f>
        <v>166228.86575342467</v>
      </c>
      <c r="X43" s="1139">
        <f>$K$43*$U$43*18/100</f>
        <v>374014.94794520549</v>
      </c>
      <c r="Y43" s="1111">
        <f t="shared" si="8"/>
        <v>195817.90684931507</v>
      </c>
      <c r="Z43" s="1111">
        <f t="shared" si="9"/>
        <v>166228.86575342464</v>
      </c>
      <c r="AA43" s="1050">
        <f t="shared" si="10"/>
        <v>1158916.8657534246</v>
      </c>
      <c r="AB43" s="1050">
        <f t="shared" si="17"/>
        <v>1300801.5450612521</v>
      </c>
      <c r="AC43" s="1050">
        <f t="shared" si="0"/>
        <v>2293489.5450612521</v>
      </c>
      <c r="AD43" s="1200">
        <v>842688</v>
      </c>
      <c r="AE43" s="1200">
        <f t="shared" si="1"/>
        <v>2143489.5450612521</v>
      </c>
      <c r="AF43" s="1226">
        <f t="shared" si="2"/>
        <v>150000</v>
      </c>
      <c r="AG43" s="1129"/>
      <c r="AH43" s="1129"/>
      <c r="AI43" s="1129"/>
      <c r="AJ43" s="1129"/>
      <c r="AK43" s="1129"/>
      <c r="AL43" s="1129"/>
      <c r="AM43" s="1129"/>
      <c r="AN43" s="1129"/>
      <c r="AO43" s="1129"/>
      <c r="AP43" s="1129"/>
      <c r="AQ43" s="1129"/>
      <c r="AR43" s="1129"/>
      <c r="AS43" s="1129"/>
      <c r="AT43" s="1129"/>
      <c r="AU43" s="1129"/>
      <c r="AV43" s="1129"/>
      <c r="AW43" s="1129"/>
      <c r="AX43" s="1129"/>
      <c r="AY43" s="1129"/>
      <c r="AZ43" s="1129"/>
      <c r="BA43" s="1129"/>
      <c r="BB43" s="1129"/>
      <c r="BC43" s="1129"/>
      <c r="BD43" s="1129"/>
      <c r="BE43" s="1129"/>
      <c r="BF43" s="1129"/>
      <c r="BG43" s="1129"/>
    </row>
    <row r="44" spans="1:59" s="1117" customFormat="1" ht="30">
      <c r="A44" s="1227">
        <v>43</v>
      </c>
      <c r="B44" s="1052" t="s">
        <v>3063</v>
      </c>
      <c r="C44" s="1055" t="s">
        <v>3064</v>
      </c>
      <c r="D44" s="1142">
        <v>1137500</v>
      </c>
      <c r="E44" s="1052">
        <f t="shared" si="6"/>
        <v>0</v>
      </c>
      <c r="F44" s="1052">
        <f t="shared" si="12"/>
        <v>1137500</v>
      </c>
      <c r="G44" s="1052">
        <v>1137500</v>
      </c>
      <c r="H44" s="1052">
        <f>+K44</f>
        <v>1137500</v>
      </c>
      <c r="I44" s="1052">
        <f>+W44</f>
        <v>0</v>
      </c>
      <c r="J44" s="1052">
        <f t="shared" si="4"/>
        <v>1137500</v>
      </c>
      <c r="K44" s="1113">
        <f>150000+50000+100000+100000+63500+300000+174000+200000</f>
        <v>1137500</v>
      </c>
      <c r="L44" s="1125">
        <f>1137500-300000</f>
        <v>837500</v>
      </c>
      <c r="M44" s="1113">
        <f>+K44-L44</f>
        <v>300000</v>
      </c>
      <c r="N44" s="1113">
        <f>63500+300000+174000+200000</f>
        <v>737500</v>
      </c>
      <c r="O44" s="1131">
        <v>41432</v>
      </c>
      <c r="P44" s="1052"/>
      <c r="Q44" s="1052"/>
      <c r="R44" s="1114"/>
      <c r="S44" s="1752"/>
      <c r="T44" s="1752"/>
      <c r="U44" s="1052"/>
      <c r="V44" s="1115">
        <f t="shared" si="7"/>
        <v>475.68219178082194</v>
      </c>
      <c r="W44" s="1052"/>
      <c r="X44" s="1052"/>
      <c r="Y44" s="1116">
        <f t="shared" si="8"/>
        <v>0</v>
      </c>
      <c r="Z44" s="1116">
        <f t="shared" si="9"/>
        <v>0</v>
      </c>
      <c r="AA44" s="1052">
        <f t="shared" si="10"/>
        <v>1137500</v>
      </c>
      <c r="AB44" s="1052">
        <v>0</v>
      </c>
      <c r="AC44" s="1052">
        <f t="shared" si="0"/>
        <v>1137500</v>
      </c>
      <c r="AD44" s="1201">
        <v>500000</v>
      </c>
      <c r="AE44" s="1201">
        <f t="shared" si="1"/>
        <v>500000</v>
      </c>
      <c r="AF44" s="1250">
        <f t="shared" si="2"/>
        <v>637500</v>
      </c>
      <c r="AG44" s="1129"/>
      <c r="AH44" s="1129"/>
      <c r="AI44" s="1129"/>
      <c r="AJ44" s="1129"/>
      <c r="AK44" s="1129"/>
      <c r="AL44" s="1129"/>
      <c r="AM44" s="1129"/>
      <c r="AN44" s="1129"/>
      <c r="AO44" s="1129"/>
      <c r="AP44" s="1129"/>
      <c r="AQ44" s="1129"/>
      <c r="AR44" s="1129"/>
      <c r="AS44" s="1129"/>
      <c r="AT44" s="1129"/>
      <c r="AU44" s="1129"/>
      <c r="AV44" s="1129"/>
      <c r="AW44" s="1129"/>
      <c r="AX44" s="1129"/>
      <c r="AY44" s="1129"/>
      <c r="AZ44" s="1129"/>
      <c r="BA44" s="1129"/>
      <c r="BB44" s="1129"/>
      <c r="BC44" s="1129"/>
      <c r="BD44" s="1129"/>
      <c r="BE44" s="1129"/>
      <c r="BF44" s="1129"/>
      <c r="BG44" s="1129"/>
    </row>
    <row r="45" spans="1:59" s="1257" customFormat="1" ht="30">
      <c r="A45" s="1251">
        <v>44</v>
      </c>
      <c r="B45" s="1252" t="s">
        <v>3065</v>
      </c>
      <c r="C45" s="1253" t="s">
        <v>3066</v>
      </c>
      <c r="D45" s="1254">
        <v>1137726</v>
      </c>
      <c r="E45" s="1065">
        <f t="shared" si="6"/>
        <v>0</v>
      </c>
      <c r="F45" s="1065">
        <f t="shared" si="12"/>
        <v>1137726</v>
      </c>
      <c r="G45" s="1065">
        <v>1137726</v>
      </c>
      <c r="H45" s="1065">
        <f>+K45</f>
        <v>1137726</v>
      </c>
      <c r="I45" s="1065">
        <f>+W45</f>
        <v>0</v>
      </c>
      <c r="J45" s="1065">
        <f t="shared" si="4"/>
        <v>1137726</v>
      </c>
      <c r="K45" s="1147">
        <f>285216+39000+463510+300000+50000</f>
        <v>1137726</v>
      </c>
      <c r="L45" s="1210">
        <v>89000</v>
      </c>
      <c r="M45" s="1147">
        <f>1137726-89000</f>
        <v>1048726</v>
      </c>
      <c r="N45" s="1147">
        <f>285216+39000+50000</f>
        <v>374216</v>
      </c>
      <c r="O45" s="1065" t="s">
        <v>3187</v>
      </c>
      <c r="P45" s="1065"/>
      <c r="Q45" s="1065"/>
      <c r="R45" s="1148"/>
      <c r="S45" s="1762"/>
      <c r="T45" s="1762"/>
      <c r="U45" s="1065"/>
      <c r="V45" s="1211">
        <f t="shared" si="7"/>
        <v>475.68219178082194</v>
      </c>
      <c r="W45" s="1065"/>
      <c r="X45" s="1065"/>
      <c r="Y45" s="1149">
        <f t="shared" si="8"/>
        <v>0</v>
      </c>
      <c r="Z45" s="1149">
        <f t="shared" si="9"/>
        <v>0</v>
      </c>
      <c r="AA45" s="1065">
        <f t="shared" si="10"/>
        <v>1137726</v>
      </c>
      <c r="AB45" s="1252">
        <v>0</v>
      </c>
      <c r="AC45" s="1252">
        <f t="shared" si="0"/>
        <v>1137726</v>
      </c>
      <c r="AD45" s="1255">
        <v>285216</v>
      </c>
      <c r="AE45" s="1255">
        <f t="shared" si="1"/>
        <v>285216</v>
      </c>
      <c r="AF45" s="1256">
        <f t="shared" si="2"/>
        <v>852510</v>
      </c>
    </row>
    <row r="46" spans="1:59" ht="30">
      <c r="A46" s="1230">
        <v>45</v>
      </c>
      <c r="B46" s="1056" t="s">
        <v>3067</v>
      </c>
      <c r="C46" s="1057" t="s">
        <v>3068</v>
      </c>
      <c r="D46" s="1140">
        <v>4500000</v>
      </c>
      <c r="E46" s="1056">
        <f t="shared" si="6"/>
        <v>0</v>
      </c>
      <c r="F46" s="1056">
        <f t="shared" si="12"/>
        <v>4500000</v>
      </c>
      <c r="G46" s="1056">
        <v>4500000</v>
      </c>
      <c r="H46" s="1056"/>
      <c r="I46" s="1056"/>
      <c r="J46" s="1056">
        <f t="shared" si="4"/>
        <v>0</v>
      </c>
      <c r="K46" s="1130">
        <f>500000+1044504+917802+917802+619892</f>
        <v>4000000</v>
      </c>
      <c r="L46" s="1130">
        <v>4000000</v>
      </c>
      <c r="M46" s="1126">
        <f t="shared" si="5"/>
        <v>0</v>
      </c>
      <c r="N46" s="1130">
        <f>500000+1044504+917802+917802+619892</f>
        <v>4000000</v>
      </c>
      <c r="O46" s="1057" t="s">
        <v>3192</v>
      </c>
      <c r="P46" s="1056"/>
      <c r="Q46" s="1056"/>
      <c r="R46" s="1127">
        <v>41807</v>
      </c>
      <c r="S46" s="1753">
        <f>+R46+(365*3)+2</f>
        <v>42904</v>
      </c>
      <c r="T46" s="1753"/>
      <c r="U46" s="1056">
        <f t="shared" ref="U46:U51" si="18">($X$1-S46)/365</f>
        <v>1.3753424657534246</v>
      </c>
      <c r="V46" s="1198">
        <f t="shared" si="7"/>
        <v>5.5013698630136982</v>
      </c>
      <c r="W46" s="1141">
        <f>$K$46*$U$46*8/100</f>
        <v>440109.58904109581</v>
      </c>
      <c r="X46" s="1141">
        <f>$K$46*$U$46*18/100</f>
        <v>990246.57534246566</v>
      </c>
      <c r="Y46" s="1128">
        <f t="shared" si="8"/>
        <v>495123.28767123283</v>
      </c>
      <c r="Z46" s="1128">
        <f t="shared" si="9"/>
        <v>0</v>
      </c>
      <c r="AA46" s="1056">
        <f t="shared" si="10"/>
        <v>4500000</v>
      </c>
      <c r="AB46" s="1056">
        <f t="shared" si="17"/>
        <v>0</v>
      </c>
      <c r="AC46" s="1056">
        <f t="shared" si="0"/>
        <v>4500000</v>
      </c>
      <c r="AD46" s="1203">
        <v>0</v>
      </c>
      <c r="AE46" s="1203">
        <f t="shared" si="1"/>
        <v>0</v>
      </c>
      <c r="AF46" s="1231">
        <f t="shared" si="2"/>
        <v>4500000</v>
      </c>
    </row>
    <row r="47" spans="1:59">
      <c r="A47" s="1230">
        <v>46</v>
      </c>
      <c r="B47" s="1056" t="s">
        <v>3069</v>
      </c>
      <c r="C47" s="1057" t="s">
        <v>3070</v>
      </c>
      <c r="D47" s="1143">
        <v>4500000</v>
      </c>
      <c r="E47" s="1056">
        <f t="shared" si="6"/>
        <v>0</v>
      </c>
      <c r="F47" s="1056">
        <f t="shared" si="12"/>
        <v>4500000</v>
      </c>
      <c r="G47" s="1056">
        <v>4500000</v>
      </c>
      <c r="H47" s="1056"/>
      <c r="I47" s="1056"/>
      <c r="J47" s="1056">
        <f t="shared" si="4"/>
        <v>0</v>
      </c>
      <c r="K47" s="1130">
        <f>500000+1906090+962436+962436+169038</f>
        <v>4500000</v>
      </c>
      <c r="L47" s="1130">
        <v>4500000</v>
      </c>
      <c r="M47" s="1126">
        <f t="shared" si="5"/>
        <v>0</v>
      </c>
      <c r="N47" s="1130">
        <f>500000+1906090+962436+962436+169038</f>
        <v>4500000</v>
      </c>
      <c r="O47" s="1056" t="s">
        <v>3192</v>
      </c>
      <c r="P47" s="1056"/>
      <c r="Q47" s="1056"/>
      <c r="R47" s="1127">
        <v>41807</v>
      </c>
      <c r="S47" s="1753">
        <f>+R47+(365*3)+2</f>
        <v>42904</v>
      </c>
      <c r="T47" s="1753"/>
      <c r="U47" s="1056">
        <f t="shared" si="18"/>
        <v>1.3753424657534246</v>
      </c>
      <c r="V47" s="1198">
        <f t="shared" si="7"/>
        <v>5.5013698630136982</v>
      </c>
      <c r="W47" s="1141">
        <f>$K$47*$U$47*8/100</f>
        <v>495123.28767123283</v>
      </c>
      <c r="X47" s="1141">
        <f>$K$47*$U$47*18/100</f>
        <v>1114027.3972602738</v>
      </c>
      <c r="Y47" s="1128">
        <f t="shared" si="8"/>
        <v>495123.28767123283</v>
      </c>
      <c r="Z47" s="1128">
        <f t="shared" si="9"/>
        <v>0</v>
      </c>
      <c r="AA47" s="1056">
        <f t="shared" si="10"/>
        <v>4500000</v>
      </c>
      <c r="AB47" s="1056">
        <f t="shared" si="17"/>
        <v>0</v>
      </c>
      <c r="AC47" s="1056">
        <f t="shared" si="0"/>
        <v>4500000</v>
      </c>
      <c r="AD47" s="1203">
        <v>0</v>
      </c>
      <c r="AE47" s="1203">
        <f t="shared" si="1"/>
        <v>0</v>
      </c>
      <c r="AF47" s="1231">
        <f t="shared" si="2"/>
        <v>4500000</v>
      </c>
    </row>
    <row r="48" spans="1:59" ht="30">
      <c r="A48" s="1230">
        <v>47</v>
      </c>
      <c r="B48" s="1056" t="s">
        <v>3071</v>
      </c>
      <c r="C48" s="1057" t="s">
        <v>3072</v>
      </c>
      <c r="D48" s="1056">
        <v>5888630</v>
      </c>
      <c r="E48" s="1056">
        <f t="shared" si="6"/>
        <v>0</v>
      </c>
      <c r="F48" s="1056">
        <f t="shared" si="12"/>
        <v>5888630</v>
      </c>
      <c r="G48" s="1056">
        <v>5888630</v>
      </c>
      <c r="H48" s="1056">
        <v>0</v>
      </c>
      <c r="I48" s="1056">
        <v>0</v>
      </c>
      <c r="J48" s="1056">
        <f t="shared" si="4"/>
        <v>0</v>
      </c>
      <c r="K48" s="1126">
        <f>1000000+10000+300000</f>
        <v>1310000</v>
      </c>
      <c r="L48" s="1126">
        <v>10000</v>
      </c>
      <c r="M48" s="1126">
        <f t="shared" si="5"/>
        <v>1300000</v>
      </c>
      <c r="N48" s="1126">
        <v>1310000</v>
      </c>
      <c r="O48" s="1056"/>
      <c r="P48" s="1056"/>
      <c r="Q48" s="1056" t="s">
        <v>3193</v>
      </c>
      <c r="R48" s="1127">
        <v>41638</v>
      </c>
      <c r="S48" s="1753">
        <f>R48+(365*3)+2</f>
        <v>42735</v>
      </c>
      <c r="T48" s="1753"/>
      <c r="U48" s="1056">
        <f t="shared" si="18"/>
        <v>1.8383561643835618</v>
      </c>
      <c r="V48" s="1198">
        <f t="shared" si="7"/>
        <v>7.353424657534247</v>
      </c>
      <c r="W48" s="1056">
        <f>K48*U48*8/100</f>
        <v>192659.72602739729</v>
      </c>
      <c r="X48" s="1056">
        <f>K48*U48*18/100</f>
        <v>433484.38356164389</v>
      </c>
      <c r="Y48" s="1128">
        <f t="shared" si="8"/>
        <v>866031.94082191796</v>
      </c>
      <c r="Z48" s="1128">
        <f t="shared" si="9"/>
        <v>0</v>
      </c>
      <c r="AA48" s="1056">
        <f t="shared" si="10"/>
        <v>5888630</v>
      </c>
      <c r="AB48" s="1056">
        <f t="shared" si="17"/>
        <v>0</v>
      </c>
      <c r="AC48" s="1056">
        <f t="shared" si="0"/>
        <v>5888630</v>
      </c>
      <c r="AD48" s="1203">
        <v>0</v>
      </c>
      <c r="AE48" s="1203">
        <f t="shared" si="1"/>
        <v>0</v>
      </c>
      <c r="AF48" s="1231">
        <f t="shared" si="2"/>
        <v>5888630</v>
      </c>
    </row>
    <row r="49" spans="1:60" s="1050" customFormat="1" ht="73.5" customHeight="1">
      <c r="A49" s="1232">
        <v>48</v>
      </c>
      <c r="B49" s="1060" t="s">
        <v>3073</v>
      </c>
      <c r="C49" s="1060" t="s">
        <v>3074</v>
      </c>
      <c r="D49" s="1086">
        <v>5027270</v>
      </c>
      <c r="E49" s="1050">
        <f t="shared" si="6"/>
        <v>5812085.6496889479</v>
      </c>
      <c r="F49" s="1086">
        <f t="shared" si="12"/>
        <v>10839355.649688948</v>
      </c>
      <c r="G49" s="1086">
        <v>5027270</v>
      </c>
      <c r="H49" s="1050">
        <v>5000000</v>
      </c>
      <c r="J49" s="1050">
        <f t="shared" si="4"/>
        <v>5000000</v>
      </c>
      <c r="K49" s="1107">
        <f>700000+350000+350000+700000+200000+500000+300000+300000+600000+1000000</f>
        <v>5000000</v>
      </c>
      <c r="L49" s="1106">
        <v>3000000</v>
      </c>
      <c r="M49" s="1107">
        <f>5000000-3000000</f>
        <v>2000000</v>
      </c>
      <c r="N49" s="1107">
        <f>700000+350000+350000+700000+200000+500000+300000+300000+600000+1000000</f>
        <v>5000000</v>
      </c>
      <c r="O49" s="1050" t="s">
        <v>3194</v>
      </c>
      <c r="R49" s="1108">
        <v>41996</v>
      </c>
      <c r="S49" s="1144">
        <v>43094</v>
      </c>
      <c r="T49" s="1144"/>
      <c r="U49" s="1050">
        <f t="shared" si="18"/>
        <v>0.85479452054794525</v>
      </c>
      <c r="V49" s="1110">
        <f t="shared" si="7"/>
        <v>3.419178082191781</v>
      </c>
      <c r="W49" s="1050">
        <v>0</v>
      </c>
      <c r="X49" s="1108"/>
      <c r="Y49" s="1111">
        <f t="shared" si="8"/>
        <v>343782.62794520549</v>
      </c>
      <c r="Z49" s="1111">
        <f t="shared" si="9"/>
        <v>341917.80821917811</v>
      </c>
      <c r="AA49" s="1050">
        <f t="shared" si="10"/>
        <v>5369187.8082191776</v>
      </c>
      <c r="AB49" s="1050">
        <f t="shared" si="17"/>
        <v>5812085.6496889479</v>
      </c>
      <c r="AC49" s="1050">
        <f t="shared" si="0"/>
        <v>10839355.649688948</v>
      </c>
      <c r="AD49" s="1200">
        <v>5000000</v>
      </c>
      <c r="AE49" s="1200">
        <f t="shared" si="1"/>
        <v>10812085.649688948</v>
      </c>
      <c r="AF49" s="1226">
        <f t="shared" si="2"/>
        <v>27270</v>
      </c>
      <c r="AG49" s="1129"/>
      <c r="AH49" s="1129"/>
      <c r="AI49" s="1129"/>
      <c r="AJ49" s="1129"/>
      <c r="AK49" s="1129"/>
      <c r="AL49" s="1129"/>
      <c r="AM49" s="1129"/>
      <c r="AN49" s="1129"/>
      <c r="AO49" s="1129"/>
      <c r="AP49" s="1129"/>
      <c r="AQ49" s="1129"/>
      <c r="AR49" s="1129"/>
      <c r="AS49" s="1129"/>
      <c r="AT49" s="1129"/>
      <c r="AU49" s="1129"/>
      <c r="AV49" s="1129"/>
      <c r="AW49" s="1129"/>
      <c r="AX49" s="1129"/>
      <c r="AY49" s="1129"/>
      <c r="AZ49" s="1129"/>
      <c r="BA49" s="1129"/>
      <c r="BB49" s="1129"/>
      <c r="BC49" s="1129"/>
      <c r="BD49" s="1129"/>
      <c r="BE49" s="1129"/>
      <c r="BF49" s="1129"/>
      <c r="BG49" s="1129"/>
      <c r="BH49" s="1145"/>
    </row>
    <row r="50" spans="1:60" s="1124" customFormat="1">
      <c r="A50" s="1228">
        <v>49</v>
      </c>
      <c r="B50" s="1053" t="s">
        <v>3075</v>
      </c>
      <c r="C50" s="1053" t="s">
        <v>3076</v>
      </c>
      <c r="D50" s="1053">
        <v>1112985</v>
      </c>
      <c r="E50" s="1053">
        <f t="shared" si="6"/>
        <v>1588130.1473452987</v>
      </c>
      <c r="F50" s="1053">
        <f t="shared" si="12"/>
        <v>2701115.1473452989</v>
      </c>
      <c r="G50" s="1053">
        <v>1112985</v>
      </c>
      <c r="H50" s="1053">
        <f>+K50</f>
        <v>1112985</v>
      </c>
      <c r="I50" s="1053"/>
      <c r="J50" s="1053">
        <f t="shared" ref="J50:J59" si="19">+H50+I50</f>
        <v>1112985</v>
      </c>
      <c r="K50" s="1118">
        <f>20000+280000+812985</f>
        <v>1112985</v>
      </c>
      <c r="L50" s="1118">
        <v>0</v>
      </c>
      <c r="M50" s="1118">
        <f t="shared" si="5"/>
        <v>1112985</v>
      </c>
      <c r="N50" s="1118">
        <f>20000+280000+812985</f>
        <v>1112985</v>
      </c>
      <c r="O50" s="1053" t="s">
        <v>3195</v>
      </c>
      <c r="P50" s="1053"/>
      <c r="Q50" s="1053"/>
      <c r="R50" s="1120">
        <v>41572</v>
      </c>
      <c r="S50" s="1754">
        <f>R50+(365*3)+2</f>
        <v>42669</v>
      </c>
      <c r="T50" s="1754"/>
      <c r="U50" s="1053">
        <f t="shared" si="18"/>
        <v>2.0191780821917806</v>
      </c>
      <c r="V50" s="1122">
        <f t="shared" si="7"/>
        <v>8.0767123287671225</v>
      </c>
      <c r="W50" s="1053">
        <f>$K$50*$U$50*8/100</f>
        <v>179785.19342465751</v>
      </c>
      <c r="X50" s="1053">
        <f>$K$50*$U$50*18/100</f>
        <v>404516.68520547939</v>
      </c>
      <c r="Y50" s="1123">
        <f t="shared" ref="Y50:Y89" si="20">$D50*8/100*$U50</f>
        <v>179785.19342465751</v>
      </c>
      <c r="Z50" s="1123">
        <f t="shared" si="9"/>
        <v>179785.19342465751</v>
      </c>
      <c r="AA50" s="1053">
        <f t="shared" si="10"/>
        <v>1292770.1934246575</v>
      </c>
      <c r="AB50" s="1053">
        <f t="shared" si="17"/>
        <v>1588130.1473452987</v>
      </c>
      <c r="AC50" s="1053">
        <f t="shared" si="0"/>
        <v>2701115.1473452989</v>
      </c>
      <c r="AD50" s="1202">
        <v>1112985</v>
      </c>
      <c r="AE50" s="1202">
        <f t="shared" si="1"/>
        <v>2701115.1473452989</v>
      </c>
      <c r="AF50" s="1229">
        <f t="shared" si="2"/>
        <v>0</v>
      </c>
      <c r="AG50" s="1129"/>
      <c r="AH50" s="1129"/>
      <c r="AI50" s="1129"/>
      <c r="AJ50" s="1129"/>
      <c r="AK50" s="1129"/>
      <c r="AL50" s="1129"/>
      <c r="AM50" s="1129"/>
      <c r="AN50" s="1129"/>
      <c r="AO50" s="1129"/>
      <c r="AP50" s="1129"/>
      <c r="AQ50" s="1129"/>
      <c r="AR50" s="1129"/>
      <c r="AS50" s="1129"/>
      <c r="AT50" s="1129"/>
      <c r="AU50" s="1129"/>
      <c r="AV50" s="1129"/>
      <c r="AW50" s="1129"/>
      <c r="AX50" s="1129"/>
      <c r="AY50" s="1129"/>
      <c r="AZ50" s="1129"/>
      <c r="BA50" s="1129"/>
      <c r="BB50" s="1129"/>
      <c r="BC50" s="1129"/>
      <c r="BD50" s="1129"/>
      <c r="BE50" s="1129"/>
      <c r="BF50" s="1129"/>
      <c r="BG50" s="1129"/>
    </row>
    <row r="51" spans="1:60" s="1124" customFormat="1" ht="30">
      <c r="A51" s="1228" t="s">
        <v>227</v>
      </c>
      <c r="B51" s="1054" t="s">
        <v>3077</v>
      </c>
      <c r="C51" s="1054" t="s">
        <v>3078</v>
      </c>
      <c r="D51" s="1053">
        <v>2850000</v>
      </c>
      <c r="E51" s="1053">
        <f t="shared" si="6"/>
        <v>3802962.3792846194</v>
      </c>
      <c r="F51" s="1053">
        <f t="shared" si="12"/>
        <v>6652962.3792846194</v>
      </c>
      <c r="G51" s="1053">
        <v>2850000</v>
      </c>
      <c r="H51" s="1053">
        <v>2850000</v>
      </c>
      <c r="I51" s="1053"/>
      <c r="J51" s="1053">
        <f t="shared" si="19"/>
        <v>2850000</v>
      </c>
      <c r="K51" s="1118">
        <f>400000+400000+1500000+550000</f>
        <v>2850000</v>
      </c>
      <c r="L51" s="1118">
        <v>2050000</v>
      </c>
      <c r="M51" s="1118">
        <f t="shared" si="5"/>
        <v>800000</v>
      </c>
      <c r="N51" s="1118">
        <f>400000+400000+1500000+550000</f>
        <v>2850000</v>
      </c>
      <c r="O51" s="1053" t="s">
        <v>3196</v>
      </c>
      <c r="P51" s="1053"/>
      <c r="Q51" s="1053"/>
      <c r="R51" s="1120">
        <v>41711</v>
      </c>
      <c r="S51" s="1754">
        <f>R51+(365*3)+2</f>
        <v>42808</v>
      </c>
      <c r="T51" s="1754"/>
      <c r="U51" s="1053">
        <f t="shared" si="18"/>
        <v>1.6383561643835616</v>
      </c>
      <c r="V51" s="1122">
        <f t="shared" si="7"/>
        <v>6.5534246575342463</v>
      </c>
      <c r="W51" s="1053">
        <f>$K$51*$U$51*8/100</f>
        <v>373545.20547945204</v>
      </c>
      <c r="X51" s="1053">
        <f>$K$51*$U$51*18/100</f>
        <v>840476.71232876705</v>
      </c>
      <c r="Y51" s="1123">
        <f t="shared" si="20"/>
        <v>373545.20547945204</v>
      </c>
      <c r="Z51" s="1123">
        <f t="shared" si="9"/>
        <v>373545.20547945204</v>
      </c>
      <c r="AA51" s="1053">
        <f t="shared" si="10"/>
        <v>3223545.2054794519</v>
      </c>
      <c r="AB51" s="1053">
        <f t="shared" si="17"/>
        <v>3802962.3792846194</v>
      </c>
      <c r="AC51" s="1053">
        <f t="shared" si="0"/>
        <v>6652962.3792846194</v>
      </c>
      <c r="AD51" s="1202">
        <v>2850000</v>
      </c>
      <c r="AE51" s="1202">
        <f t="shared" si="1"/>
        <v>6652962.3792846194</v>
      </c>
      <c r="AF51" s="1229">
        <f t="shared" si="2"/>
        <v>0</v>
      </c>
      <c r="AG51" s="1129"/>
      <c r="AH51" s="1129"/>
      <c r="AI51" s="1129"/>
      <c r="AJ51" s="1129"/>
      <c r="AK51" s="1129"/>
      <c r="AL51" s="1129"/>
      <c r="AM51" s="1129"/>
      <c r="AN51" s="1129"/>
      <c r="AO51" s="1129"/>
      <c r="AP51" s="1129"/>
      <c r="AQ51" s="1129"/>
      <c r="AR51" s="1129"/>
      <c r="AS51" s="1129"/>
      <c r="AT51" s="1129"/>
      <c r="AU51" s="1129"/>
      <c r="AV51" s="1129"/>
      <c r="AW51" s="1129"/>
      <c r="AX51" s="1129"/>
      <c r="AY51" s="1129"/>
      <c r="AZ51" s="1129"/>
      <c r="BA51" s="1129"/>
      <c r="BB51" s="1129"/>
      <c r="BC51" s="1129"/>
      <c r="BD51" s="1129"/>
      <c r="BE51" s="1129"/>
      <c r="BF51" s="1129"/>
      <c r="BG51" s="1129"/>
    </row>
    <row r="52" spans="1:60" s="1117" customFormat="1" ht="45">
      <c r="A52" s="1227">
        <v>51</v>
      </c>
      <c r="B52" s="1052" t="s">
        <v>3079</v>
      </c>
      <c r="C52" s="1062" t="s">
        <v>3080</v>
      </c>
      <c r="D52" s="1142">
        <v>1545046</v>
      </c>
      <c r="E52" s="1052">
        <f t="shared" si="6"/>
        <v>0</v>
      </c>
      <c r="F52" s="1052">
        <f t="shared" si="12"/>
        <v>1545046</v>
      </c>
      <c r="G52" s="1052">
        <v>1545046</v>
      </c>
      <c r="H52" s="1052">
        <f>+K52</f>
        <v>1350063</v>
      </c>
      <c r="I52" s="1052">
        <f>+W52</f>
        <v>0</v>
      </c>
      <c r="J52" s="1052">
        <f t="shared" si="19"/>
        <v>1350063</v>
      </c>
      <c r="K52" s="1113">
        <f>400000+180006+250028+125006+195006+200017</f>
        <v>1350063</v>
      </c>
      <c r="L52" s="1113">
        <v>0</v>
      </c>
      <c r="M52" s="1113">
        <f t="shared" si="5"/>
        <v>1350063</v>
      </c>
      <c r="N52" s="1113"/>
      <c r="O52" s="1052"/>
      <c r="P52" s="1052"/>
      <c r="Q52" s="1052"/>
      <c r="R52" s="1114"/>
      <c r="S52" s="1752"/>
      <c r="T52" s="1752"/>
      <c r="U52" s="1052"/>
      <c r="V52" s="1115">
        <f t="shared" si="7"/>
        <v>475.68219178082194</v>
      </c>
      <c r="W52" s="1052"/>
      <c r="X52" s="1052"/>
      <c r="Y52" s="1116">
        <f t="shared" si="20"/>
        <v>0</v>
      </c>
      <c r="Z52" s="1116">
        <f t="shared" si="9"/>
        <v>0</v>
      </c>
      <c r="AA52" s="1052">
        <f t="shared" si="10"/>
        <v>1545046</v>
      </c>
      <c r="AB52" s="1052">
        <v>0</v>
      </c>
      <c r="AC52" s="1052">
        <f t="shared" si="0"/>
        <v>1545046</v>
      </c>
      <c r="AD52" s="1201">
        <v>200000</v>
      </c>
      <c r="AE52" s="1201">
        <f t="shared" si="1"/>
        <v>200000</v>
      </c>
      <c r="AF52" s="1250">
        <f t="shared" si="2"/>
        <v>1345046</v>
      </c>
      <c r="AG52" s="1129"/>
      <c r="AH52" s="1129"/>
      <c r="AI52" s="1129"/>
      <c r="AJ52" s="1129"/>
      <c r="AK52" s="1129"/>
      <c r="AL52" s="1129"/>
      <c r="AM52" s="1129"/>
      <c r="AN52" s="1129"/>
      <c r="AO52" s="1129"/>
      <c r="AP52" s="1129"/>
      <c r="AQ52" s="1129"/>
      <c r="AR52" s="1129"/>
      <c r="AS52" s="1129"/>
      <c r="AT52" s="1129"/>
      <c r="AU52" s="1129"/>
      <c r="AV52" s="1129"/>
      <c r="AW52" s="1129"/>
      <c r="AX52" s="1129"/>
      <c r="AY52" s="1129"/>
      <c r="AZ52" s="1129"/>
      <c r="BA52" s="1129"/>
      <c r="BB52" s="1129"/>
      <c r="BC52" s="1129"/>
      <c r="BD52" s="1129"/>
      <c r="BE52" s="1129"/>
      <c r="BF52" s="1129"/>
      <c r="BG52" s="1129"/>
    </row>
    <row r="53" spans="1:60" s="1117" customFormat="1" ht="30">
      <c r="A53" s="1227">
        <v>52</v>
      </c>
      <c r="B53" s="1052" t="s">
        <v>3081</v>
      </c>
      <c r="C53" s="1055" t="s">
        <v>3082</v>
      </c>
      <c r="D53" s="1142">
        <v>200000</v>
      </c>
      <c r="E53" s="1052">
        <f t="shared" si="6"/>
        <v>0</v>
      </c>
      <c r="F53" s="1052">
        <f t="shared" si="12"/>
        <v>200000</v>
      </c>
      <c r="G53" s="1052">
        <v>0</v>
      </c>
      <c r="H53" s="1052">
        <f>+K53</f>
        <v>200000</v>
      </c>
      <c r="I53" s="1052"/>
      <c r="J53" s="1052">
        <f t="shared" si="19"/>
        <v>200000</v>
      </c>
      <c r="K53" s="1113">
        <v>200000</v>
      </c>
      <c r="L53" s="1113">
        <v>0</v>
      </c>
      <c r="M53" s="1113">
        <f t="shared" si="5"/>
        <v>200000</v>
      </c>
      <c r="N53" s="1113"/>
      <c r="O53" s="1052"/>
      <c r="P53" s="1052"/>
      <c r="Q53" s="1052"/>
      <c r="R53" s="1114"/>
      <c r="S53" s="1752"/>
      <c r="T53" s="1752"/>
      <c r="U53" s="1052"/>
      <c r="V53" s="1115">
        <f t="shared" si="7"/>
        <v>475.68219178082194</v>
      </c>
      <c r="W53" s="1052"/>
      <c r="X53" s="1052"/>
      <c r="Y53" s="1116">
        <f t="shared" si="20"/>
        <v>0</v>
      </c>
      <c r="Z53" s="1116">
        <f t="shared" si="9"/>
        <v>0</v>
      </c>
      <c r="AA53" s="1052">
        <f t="shared" si="10"/>
        <v>200000</v>
      </c>
      <c r="AB53" s="1052">
        <v>0</v>
      </c>
      <c r="AC53" s="1052">
        <f t="shared" si="0"/>
        <v>200000</v>
      </c>
      <c r="AD53" s="1201">
        <v>0</v>
      </c>
      <c r="AE53" s="1201">
        <f t="shared" si="1"/>
        <v>0</v>
      </c>
      <c r="AF53" s="1250">
        <f t="shared" si="2"/>
        <v>200000</v>
      </c>
      <c r="AG53" s="1129"/>
      <c r="AH53" s="1129"/>
      <c r="AI53" s="1129"/>
      <c r="AJ53" s="1129"/>
      <c r="AK53" s="1129"/>
      <c r="AL53" s="1129"/>
      <c r="AM53" s="1129"/>
      <c r="AN53" s="1129"/>
      <c r="AO53" s="1129"/>
      <c r="AP53" s="1129"/>
      <c r="AQ53" s="1129"/>
      <c r="AR53" s="1129"/>
      <c r="AS53" s="1129"/>
      <c r="AT53" s="1129"/>
      <c r="AU53" s="1129"/>
      <c r="AV53" s="1129"/>
      <c r="AW53" s="1129"/>
      <c r="AX53" s="1129"/>
      <c r="AY53" s="1129"/>
      <c r="AZ53" s="1129"/>
      <c r="BA53" s="1129"/>
      <c r="BB53" s="1129"/>
      <c r="BC53" s="1129"/>
      <c r="BD53" s="1129"/>
      <c r="BE53" s="1129"/>
      <c r="BF53" s="1129"/>
      <c r="BG53" s="1129"/>
    </row>
    <row r="54" spans="1:60" s="1112" customFormat="1" ht="30">
      <c r="A54" s="1233">
        <v>53</v>
      </c>
      <c r="B54" s="1050" t="s">
        <v>278</v>
      </c>
      <c r="C54" s="1051" t="s">
        <v>3083</v>
      </c>
      <c r="D54" s="1050">
        <f>555000+1700000</f>
        <v>2255000</v>
      </c>
      <c r="E54" s="1050">
        <f t="shared" si="6"/>
        <v>0</v>
      </c>
      <c r="F54" s="1050">
        <f t="shared" si="12"/>
        <v>2255000</v>
      </c>
      <c r="G54" s="1050">
        <v>550000</v>
      </c>
      <c r="H54" s="1050">
        <v>1000000</v>
      </c>
      <c r="I54" s="1050"/>
      <c r="J54" s="1050">
        <f t="shared" si="19"/>
        <v>1000000</v>
      </c>
      <c r="K54" s="1050">
        <v>1000000</v>
      </c>
      <c r="L54" s="1050"/>
      <c r="M54" s="1107">
        <v>1000000</v>
      </c>
      <c r="N54" s="1050"/>
      <c r="O54" s="1050"/>
      <c r="P54" s="1050"/>
      <c r="Q54" s="1050"/>
      <c r="R54" s="1050"/>
      <c r="S54" s="1755"/>
      <c r="T54" s="1755"/>
      <c r="U54" s="1050"/>
      <c r="V54" s="1110">
        <f t="shared" si="7"/>
        <v>475.68219178082194</v>
      </c>
      <c r="W54" s="1050"/>
      <c r="X54" s="1050"/>
      <c r="Y54" s="1111">
        <f t="shared" si="20"/>
        <v>0</v>
      </c>
      <c r="Z54" s="1111">
        <f t="shared" si="9"/>
        <v>0</v>
      </c>
      <c r="AA54" s="1050">
        <f t="shared" si="10"/>
        <v>2255000</v>
      </c>
      <c r="AB54" s="1050">
        <v>0</v>
      </c>
      <c r="AC54" s="1050">
        <f t="shared" si="0"/>
        <v>2255000</v>
      </c>
      <c r="AD54" s="1200">
        <v>1000000</v>
      </c>
      <c r="AE54" s="1200">
        <f t="shared" si="1"/>
        <v>1000000</v>
      </c>
      <c r="AF54" s="1226">
        <f t="shared" si="2"/>
        <v>1255000</v>
      </c>
      <c r="AG54" s="1129"/>
      <c r="AH54" s="1129"/>
      <c r="AI54" s="1129"/>
      <c r="AJ54" s="1129"/>
      <c r="AK54" s="1129"/>
      <c r="AL54" s="1129"/>
      <c r="AM54" s="1129"/>
      <c r="AN54" s="1129"/>
      <c r="AO54" s="1129"/>
      <c r="AP54" s="1129"/>
      <c r="AQ54" s="1129"/>
      <c r="AR54" s="1129"/>
      <c r="AS54" s="1129"/>
      <c r="AT54" s="1129"/>
      <c r="AU54" s="1129"/>
      <c r="AV54" s="1129"/>
      <c r="AW54" s="1129"/>
      <c r="AX54" s="1129"/>
      <c r="AY54" s="1129"/>
      <c r="AZ54" s="1129"/>
      <c r="BA54" s="1129"/>
      <c r="BB54" s="1129"/>
      <c r="BC54" s="1129"/>
      <c r="BD54" s="1129"/>
      <c r="BE54" s="1129"/>
      <c r="BF54" s="1129"/>
      <c r="BG54" s="1129"/>
    </row>
    <row r="55" spans="1:60" s="1117" customFormat="1">
      <c r="A55" s="1227">
        <v>54</v>
      </c>
      <c r="B55" s="1052" t="s">
        <v>2926</v>
      </c>
      <c r="C55" s="1052" t="s">
        <v>3084</v>
      </c>
      <c r="D55" s="1052">
        <v>300000</v>
      </c>
      <c r="E55" s="1052">
        <f t="shared" si="6"/>
        <v>0</v>
      </c>
      <c r="F55" s="1052">
        <f t="shared" si="12"/>
        <v>300000</v>
      </c>
      <c r="G55" s="1052"/>
      <c r="H55" s="1052">
        <f>+K55</f>
        <v>300000</v>
      </c>
      <c r="I55" s="1052">
        <f>+W55</f>
        <v>0</v>
      </c>
      <c r="J55" s="1052">
        <f t="shared" si="19"/>
        <v>300000</v>
      </c>
      <c r="K55" s="1052">
        <v>300000</v>
      </c>
      <c r="L55" s="1052">
        <v>0</v>
      </c>
      <c r="M55" s="1113">
        <f t="shared" si="5"/>
        <v>300000</v>
      </c>
      <c r="N55" s="1052"/>
      <c r="O55" s="1052"/>
      <c r="P55" s="1052"/>
      <c r="Q55" s="1052"/>
      <c r="R55" s="1052"/>
      <c r="S55" s="1752"/>
      <c r="T55" s="1752"/>
      <c r="U55" s="1052"/>
      <c r="V55" s="1115">
        <f t="shared" si="7"/>
        <v>475.68219178082194</v>
      </c>
      <c r="W55" s="1052"/>
      <c r="X55" s="1052"/>
      <c r="Y55" s="1116">
        <f t="shared" si="20"/>
        <v>0</v>
      </c>
      <c r="Z55" s="1116">
        <f t="shared" si="9"/>
        <v>0</v>
      </c>
      <c r="AA55" s="1052">
        <f t="shared" si="10"/>
        <v>300000</v>
      </c>
      <c r="AB55" s="1052">
        <v>0</v>
      </c>
      <c r="AC55" s="1052">
        <f t="shared" si="0"/>
        <v>300000</v>
      </c>
      <c r="AD55" s="1201">
        <v>0</v>
      </c>
      <c r="AE55" s="1201">
        <f t="shared" si="1"/>
        <v>0</v>
      </c>
      <c r="AF55" s="1250">
        <f t="shared" si="2"/>
        <v>300000</v>
      </c>
      <c r="AG55" s="1129"/>
      <c r="AH55" s="1129"/>
      <c r="AI55" s="1129"/>
      <c r="AJ55" s="1129"/>
      <c r="AK55" s="1129"/>
      <c r="AL55" s="1129"/>
      <c r="AM55" s="1129"/>
      <c r="AN55" s="1129"/>
      <c r="AO55" s="1129"/>
      <c r="AP55" s="1129"/>
      <c r="AQ55" s="1129"/>
      <c r="AR55" s="1129"/>
      <c r="AS55" s="1129"/>
      <c r="AT55" s="1129"/>
      <c r="AU55" s="1129"/>
      <c r="AV55" s="1129"/>
      <c r="AW55" s="1129"/>
      <c r="AX55" s="1129"/>
      <c r="AY55" s="1129"/>
      <c r="AZ55" s="1129"/>
      <c r="BA55" s="1129"/>
      <c r="BB55" s="1129"/>
      <c r="BC55" s="1129"/>
      <c r="BD55" s="1129"/>
      <c r="BE55" s="1129"/>
      <c r="BF55" s="1129"/>
      <c r="BG55" s="1129"/>
    </row>
    <row r="56" spans="1:60" s="1112" customFormat="1" ht="47.25">
      <c r="A56" s="1225">
        <v>55</v>
      </c>
      <c r="B56" s="1050" t="s">
        <v>3085</v>
      </c>
      <c r="C56" s="1063" t="s">
        <v>2967</v>
      </c>
      <c r="D56" s="1050">
        <v>4550000</v>
      </c>
      <c r="E56" s="1050">
        <f t="shared" si="6"/>
        <v>4303056.6802790808</v>
      </c>
      <c r="F56" s="1050">
        <f t="shared" si="12"/>
        <v>8853056.6802790798</v>
      </c>
      <c r="G56" s="1050">
        <v>2823121</v>
      </c>
      <c r="H56" s="1050">
        <f>K56+Q56</f>
        <v>3989207</v>
      </c>
      <c r="I56" s="1050">
        <f>+W56</f>
        <v>137272.43813698631</v>
      </c>
      <c r="J56" s="1050">
        <f t="shared" si="19"/>
        <v>4126479.4381369865</v>
      </c>
      <c r="K56" s="1050">
        <f>100000+500000+700000</f>
        <v>1300000</v>
      </c>
      <c r="L56" s="1050">
        <v>100000</v>
      </c>
      <c r="M56" s="1107">
        <f t="shared" si="5"/>
        <v>1200000</v>
      </c>
      <c r="N56" s="1050">
        <v>2500087</v>
      </c>
      <c r="O56" s="1050">
        <f>+N56+K56</f>
        <v>3800087</v>
      </c>
      <c r="P56" s="1050"/>
      <c r="Q56" s="1050">
        <v>2689207</v>
      </c>
      <c r="R56" s="1132">
        <v>42152</v>
      </c>
      <c r="S56" s="1755">
        <f>R56+(365*3)+2</f>
        <v>43249</v>
      </c>
      <c r="T56" s="1755"/>
      <c r="U56" s="1050">
        <f>($X$1-S56)/365</f>
        <v>0.43013698630136987</v>
      </c>
      <c r="V56" s="1110">
        <f t="shared" si="7"/>
        <v>1.7205479452054795</v>
      </c>
      <c r="W56" s="1050">
        <f>H56*U56*8/100</f>
        <v>137272.43813698631</v>
      </c>
      <c r="X56" s="1050">
        <f>N56*U56*18/100</f>
        <v>193568.37978082191</v>
      </c>
      <c r="Y56" s="1111">
        <f t="shared" si="20"/>
        <v>156569.86301369863</v>
      </c>
      <c r="Z56" s="1111">
        <f t="shared" si="9"/>
        <v>137272.43813698631</v>
      </c>
      <c r="AA56" s="1050">
        <f t="shared" si="10"/>
        <v>4687272.4381369865</v>
      </c>
      <c r="AB56" s="1050">
        <f t="shared" si="17"/>
        <v>4303056.6802790808</v>
      </c>
      <c r="AC56" s="1050">
        <f t="shared" si="0"/>
        <v>8853056.6802790798</v>
      </c>
      <c r="AD56" s="1200">
        <v>3989207</v>
      </c>
      <c r="AE56" s="1200">
        <f t="shared" si="1"/>
        <v>8292263.6802790808</v>
      </c>
      <c r="AF56" s="1226">
        <f t="shared" si="2"/>
        <v>560793</v>
      </c>
      <c r="AG56" s="1129"/>
      <c r="AH56" s="1129"/>
      <c r="AI56" s="1129"/>
      <c r="AJ56" s="1129"/>
      <c r="AK56" s="1129"/>
      <c r="AL56" s="1129"/>
      <c r="AM56" s="1129"/>
      <c r="AN56" s="1129"/>
      <c r="AO56" s="1129"/>
      <c r="AP56" s="1129"/>
      <c r="AQ56" s="1129"/>
      <c r="AR56" s="1129"/>
      <c r="AS56" s="1129"/>
      <c r="AT56" s="1129"/>
      <c r="AU56" s="1129"/>
      <c r="AV56" s="1129"/>
      <c r="AW56" s="1129"/>
      <c r="AX56" s="1129"/>
      <c r="AY56" s="1129"/>
      <c r="AZ56" s="1129"/>
      <c r="BA56" s="1129"/>
      <c r="BB56" s="1129"/>
      <c r="BC56" s="1129"/>
      <c r="BD56" s="1129"/>
      <c r="BE56" s="1129"/>
      <c r="BF56" s="1129"/>
      <c r="BG56" s="1129"/>
    </row>
    <row r="57" spans="1:60">
      <c r="A57" s="1230">
        <v>56</v>
      </c>
      <c r="B57" s="1056" t="s">
        <v>3086</v>
      </c>
      <c r="C57" s="1056" t="s">
        <v>3087</v>
      </c>
      <c r="D57" s="1056">
        <v>6300000</v>
      </c>
      <c r="E57" s="1056">
        <f t="shared" si="6"/>
        <v>0</v>
      </c>
      <c r="F57" s="1056">
        <f t="shared" si="12"/>
        <v>6300000</v>
      </c>
      <c r="G57" s="1056">
        <f>D57</f>
        <v>6300000</v>
      </c>
      <c r="H57" s="1056"/>
      <c r="I57" s="1056"/>
      <c r="J57" s="1056">
        <f t="shared" si="19"/>
        <v>0</v>
      </c>
      <c r="K57" s="1056">
        <f>600000+600000+1000000+500000</f>
        <v>2700000</v>
      </c>
      <c r="L57" s="1056">
        <v>0</v>
      </c>
      <c r="M57" s="1126">
        <f t="shared" si="5"/>
        <v>2700000</v>
      </c>
      <c r="N57" s="1056">
        <v>2700000</v>
      </c>
      <c r="O57" s="1056"/>
      <c r="P57" s="1056"/>
      <c r="Q57" s="1056"/>
      <c r="R57" s="1134">
        <v>41673</v>
      </c>
      <c r="S57" s="1753">
        <f>R57+(365*3)+2</f>
        <v>42770</v>
      </c>
      <c r="T57" s="1753"/>
      <c r="U57" s="1056">
        <f>($X$1-S57)/365</f>
        <v>1.7424657534246575</v>
      </c>
      <c r="V57" s="1198">
        <f t="shared" si="7"/>
        <v>6.9698630136986299</v>
      </c>
      <c r="W57" s="1056">
        <f>N57*U57*8/100</f>
        <v>376372.60273972602</v>
      </c>
      <c r="X57" s="1056">
        <f>N57*U57*18/100</f>
        <v>846838.35616438359</v>
      </c>
      <c r="Y57" s="1128">
        <f t="shared" si="20"/>
        <v>878202.73972602736</v>
      </c>
      <c r="Z57" s="1128">
        <f t="shared" si="9"/>
        <v>0</v>
      </c>
      <c r="AA57" s="1056">
        <f t="shared" si="10"/>
        <v>6300000</v>
      </c>
      <c r="AB57" s="1056">
        <f t="shared" si="17"/>
        <v>0</v>
      </c>
      <c r="AC57" s="1056">
        <f t="shared" si="0"/>
        <v>6300000</v>
      </c>
      <c r="AD57" s="1203"/>
      <c r="AE57" s="1203">
        <f t="shared" si="1"/>
        <v>0</v>
      </c>
      <c r="AF57" s="1231">
        <f t="shared" si="2"/>
        <v>6300000</v>
      </c>
    </row>
    <row r="58" spans="1:60" s="1124" customFormat="1">
      <c r="A58" s="1228">
        <v>57</v>
      </c>
      <c r="B58" s="1064" t="s">
        <v>3088</v>
      </c>
      <c r="C58" s="1053" t="s">
        <v>3089</v>
      </c>
      <c r="D58" s="1053">
        <v>6618619</v>
      </c>
      <c r="E58" s="1053">
        <f t="shared" si="6"/>
        <v>7370287.9074494336</v>
      </c>
      <c r="F58" s="1053">
        <f t="shared" si="12"/>
        <v>13988906.907449434</v>
      </c>
      <c r="G58" s="1053">
        <f>D58</f>
        <v>6618619</v>
      </c>
      <c r="H58" s="1053">
        <v>6618619</v>
      </c>
      <c r="I58" s="1053">
        <f>+W58</f>
        <v>323496.33687671239</v>
      </c>
      <c r="J58" s="1053">
        <f t="shared" si="19"/>
        <v>6942115.3368767127</v>
      </c>
      <c r="K58" s="1053">
        <f>1100+100000+650000+50000+300000+200000+330000+120000+4867519</f>
        <v>6618619</v>
      </c>
      <c r="L58" s="1053">
        <f>120000+300000+200000+50000+1100</f>
        <v>671100</v>
      </c>
      <c r="M58" s="1118">
        <f t="shared" si="5"/>
        <v>5947519</v>
      </c>
      <c r="N58" s="1053">
        <v>1771100</v>
      </c>
      <c r="O58" s="1053"/>
      <c r="P58" s="1053"/>
      <c r="Q58" s="1053"/>
      <c r="R58" s="1119">
        <v>42086</v>
      </c>
      <c r="S58" s="1754">
        <f>R58+(365*3)+2</f>
        <v>43183</v>
      </c>
      <c r="T58" s="1754"/>
      <c r="U58" s="1053">
        <f>($X$1-S58)/365</f>
        <v>0.61095890410958908</v>
      </c>
      <c r="V58" s="1122">
        <f t="shared" si="7"/>
        <v>2.4438356164383563</v>
      </c>
      <c r="W58" s="1053">
        <f>H58*U58*8/100</f>
        <v>323496.33687671239</v>
      </c>
      <c r="X58" s="1053">
        <f>N58*U58*18/100</f>
        <v>194772.47671232876</v>
      </c>
      <c r="Y58" s="1123">
        <f t="shared" si="20"/>
        <v>323496.33687671239</v>
      </c>
      <c r="Z58" s="1123">
        <f t="shared" si="9"/>
        <v>323496.33687671239</v>
      </c>
      <c r="AA58" s="1053">
        <f t="shared" si="10"/>
        <v>6942115.3368767127</v>
      </c>
      <c r="AB58" s="1053">
        <f t="shared" si="17"/>
        <v>7370287.9074494336</v>
      </c>
      <c r="AC58" s="1053">
        <f t="shared" si="0"/>
        <v>13988906.907449434</v>
      </c>
      <c r="AD58" s="1202">
        <v>6618619</v>
      </c>
      <c r="AE58" s="1202">
        <f t="shared" si="1"/>
        <v>13988906.907449434</v>
      </c>
      <c r="AF58" s="1229">
        <f t="shared" si="2"/>
        <v>0</v>
      </c>
      <c r="AG58" s="1129"/>
      <c r="AH58" s="1129"/>
      <c r="AI58" s="1129"/>
      <c r="AJ58" s="1129"/>
      <c r="AK58" s="1129"/>
      <c r="AL58" s="1129"/>
      <c r="AM58" s="1129"/>
      <c r="AN58" s="1129"/>
      <c r="AO58" s="1129"/>
      <c r="AP58" s="1129"/>
      <c r="AQ58" s="1129"/>
      <c r="AR58" s="1129"/>
      <c r="AS58" s="1129"/>
      <c r="AT58" s="1129"/>
      <c r="AU58" s="1129"/>
      <c r="AV58" s="1129"/>
      <c r="AW58" s="1129"/>
      <c r="AX58" s="1129"/>
      <c r="AY58" s="1129"/>
      <c r="AZ58" s="1129"/>
      <c r="BA58" s="1129"/>
      <c r="BB58" s="1129"/>
      <c r="BC58" s="1129"/>
      <c r="BD58" s="1129"/>
      <c r="BE58" s="1129"/>
      <c r="BF58" s="1129"/>
      <c r="BG58" s="1129"/>
    </row>
    <row r="59" spans="1:60" s="1112" customFormat="1" ht="30">
      <c r="A59" s="1234">
        <v>58</v>
      </c>
      <c r="B59" s="1050" t="s">
        <v>2927</v>
      </c>
      <c r="C59" s="1051" t="s">
        <v>3090</v>
      </c>
      <c r="D59" s="1050">
        <v>4564305</v>
      </c>
      <c r="E59" s="1050">
        <f t="shared" si="6"/>
        <v>0</v>
      </c>
      <c r="F59" s="1050">
        <f t="shared" si="12"/>
        <v>4564305</v>
      </c>
      <c r="G59" s="1050">
        <f>D59</f>
        <v>4564305</v>
      </c>
      <c r="H59" s="1050">
        <v>4458359</v>
      </c>
      <c r="I59" s="1050">
        <f>+U59</f>
        <v>0</v>
      </c>
      <c r="J59" s="1050">
        <f t="shared" si="19"/>
        <v>4458359</v>
      </c>
      <c r="K59" s="1050">
        <f>1550000</f>
        <v>1550000</v>
      </c>
      <c r="L59" s="1050">
        <v>50000</v>
      </c>
      <c r="M59" s="1107">
        <f t="shared" si="5"/>
        <v>1500000</v>
      </c>
      <c r="N59" s="1050"/>
      <c r="O59" s="1050"/>
      <c r="P59" s="1050"/>
      <c r="Q59" s="1050">
        <v>2908359</v>
      </c>
      <c r="R59" s="1050"/>
      <c r="S59" s="1755"/>
      <c r="T59" s="1755"/>
      <c r="U59" s="1050"/>
      <c r="V59" s="1110">
        <f t="shared" si="7"/>
        <v>475.68219178082194</v>
      </c>
      <c r="W59" s="1050"/>
      <c r="X59" s="1050"/>
      <c r="Y59" s="1111">
        <f t="shared" si="20"/>
        <v>0</v>
      </c>
      <c r="Z59" s="1111">
        <f t="shared" si="9"/>
        <v>0</v>
      </c>
      <c r="AA59" s="1050">
        <f t="shared" si="10"/>
        <v>4564305</v>
      </c>
      <c r="AB59" s="1050">
        <v>0</v>
      </c>
      <c r="AC59" s="1050">
        <f t="shared" si="0"/>
        <v>4564305</v>
      </c>
      <c r="AD59" s="1200">
        <v>4458359</v>
      </c>
      <c r="AE59" s="1200">
        <f t="shared" si="1"/>
        <v>4458359</v>
      </c>
      <c r="AF59" s="1226">
        <f t="shared" si="2"/>
        <v>105946</v>
      </c>
      <c r="AG59" s="1129"/>
      <c r="AH59" s="1129"/>
      <c r="AI59" s="1129"/>
      <c r="AJ59" s="1129"/>
      <c r="AK59" s="1129"/>
      <c r="AL59" s="1129"/>
      <c r="AM59" s="1129"/>
      <c r="AN59" s="1129"/>
      <c r="AO59" s="1129"/>
      <c r="AP59" s="1129"/>
      <c r="AQ59" s="1129"/>
      <c r="AR59" s="1129"/>
      <c r="AS59" s="1129"/>
      <c r="AT59" s="1129"/>
      <c r="AU59" s="1129"/>
      <c r="AV59" s="1129"/>
      <c r="AW59" s="1129"/>
      <c r="AX59" s="1129"/>
      <c r="AY59" s="1129"/>
      <c r="AZ59" s="1129"/>
      <c r="BA59" s="1129"/>
      <c r="BB59" s="1129"/>
      <c r="BC59" s="1129"/>
      <c r="BD59" s="1129"/>
      <c r="BE59" s="1129"/>
      <c r="BF59" s="1129"/>
      <c r="BG59" s="1129"/>
    </row>
    <row r="60" spans="1:60" s="1117" customFormat="1">
      <c r="A60" s="1227">
        <v>59</v>
      </c>
      <c r="B60" s="1052" t="s">
        <v>3091</v>
      </c>
      <c r="C60" s="1052" t="s">
        <v>3092</v>
      </c>
      <c r="D60" s="1052">
        <v>840000</v>
      </c>
      <c r="E60" s="1052">
        <f t="shared" si="6"/>
        <v>0</v>
      </c>
      <c r="F60" s="1052">
        <f t="shared" si="12"/>
        <v>840000</v>
      </c>
      <c r="G60" s="1052">
        <v>540000</v>
      </c>
      <c r="H60" s="1052"/>
      <c r="I60" s="1052" t="s">
        <v>227</v>
      </c>
      <c r="J60" s="1052"/>
      <c r="K60" s="1052">
        <f>240000+150000+150000</f>
        <v>540000</v>
      </c>
      <c r="L60" s="1052">
        <f>240000+150000</f>
        <v>390000</v>
      </c>
      <c r="M60" s="1113">
        <f t="shared" si="5"/>
        <v>150000</v>
      </c>
      <c r="N60" s="1052">
        <v>540000</v>
      </c>
      <c r="O60" s="1052"/>
      <c r="P60" s="1052"/>
      <c r="Q60" s="1052"/>
      <c r="R60" s="1052"/>
      <c r="S60" s="1752"/>
      <c r="T60" s="1752"/>
      <c r="U60" s="1052"/>
      <c r="V60" s="1115">
        <f t="shared" si="7"/>
        <v>475.68219178082194</v>
      </c>
      <c r="W60" s="1052"/>
      <c r="X60" s="1052"/>
      <c r="Y60" s="1116">
        <f t="shared" si="20"/>
        <v>0</v>
      </c>
      <c r="Z60" s="1116">
        <f t="shared" si="9"/>
        <v>0</v>
      </c>
      <c r="AA60" s="1052">
        <f t="shared" si="10"/>
        <v>840000</v>
      </c>
      <c r="AB60" s="1052">
        <f t="shared" si="17"/>
        <v>0</v>
      </c>
      <c r="AC60" s="1052">
        <f t="shared" si="0"/>
        <v>840000</v>
      </c>
      <c r="AD60" s="1201">
        <v>0</v>
      </c>
      <c r="AE60" s="1201">
        <f t="shared" si="1"/>
        <v>0</v>
      </c>
      <c r="AF60" s="1250">
        <f t="shared" si="2"/>
        <v>840000</v>
      </c>
      <c r="AG60" s="1129"/>
      <c r="AH60" s="1129"/>
      <c r="AI60" s="1129"/>
      <c r="AJ60" s="1129"/>
      <c r="AK60" s="1129"/>
      <c r="AL60" s="1129"/>
      <c r="AM60" s="1129"/>
      <c r="AN60" s="1129"/>
      <c r="AO60" s="1129"/>
      <c r="AP60" s="1129"/>
      <c r="AQ60" s="1129"/>
      <c r="AR60" s="1129"/>
      <c r="AS60" s="1129"/>
      <c r="AT60" s="1129"/>
      <c r="AU60" s="1129"/>
      <c r="AV60" s="1129"/>
      <c r="AW60" s="1129"/>
      <c r="AX60" s="1129"/>
      <c r="AY60" s="1129"/>
      <c r="AZ60" s="1129"/>
      <c r="BA60" s="1129"/>
      <c r="BB60" s="1129"/>
      <c r="BC60" s="1129"/>
      <c r="BD60" s="1129"/>
      <c r="BE60" s="1129"/>
      <c r="BF60" s="1129"/>
      <c r="BG60" s="1129"/>
    </row>
    <row r="61" spans="1:60" s="1112" customFormat="1" ht="30">
      <c r="A61" s="1225">
        <v>60</v>
      </c>
      <c r="B61" s="1050" t="s">
        <v>3093</v>
      </c>
      <c r="C61" s="1051" t="s">
        <v>3094</v>
      </c>
      <c r="D61" s="1050">
        <v>1821317</v>
      </c>
      <c r="E61" s="1050">
        <f t="shared" si="6"/>
        <v>824756.71839111566</v>
      </c>
      <c r="F61" s="1050">
        <f t="shared" si="12"/>
        <v>2646073.7183911158</v>
      </c>
      <c r="G61" s="1050">
        <f>D61</f>
        <v>1821317</v>
      </c>
      <c r="H61" s="1050">
        <v>700000</v>
      </c>
      <c r="I61" s="1050">
        <v>0</v>
      </c>
      <c r="J61" s="1050">
        <v>0</v>
      </c>
      <c r="K61" s="1050">
        <f>1121370+700000</f>
        <v>1821370</v>
      </c>
      <c r="L61" s="1050">
        <v>700000</v>
      </c>
      <c r="M61" s="1107">
        <f t="shared" si="5"/>
        <v>1121370</v>
      </c>
      <c r="N61" s="1050">
        <v>2921370</v>
      </c>
      <c r="O61" s="1050"/>
      <c r="P61" s="1050"/>
      <c r="Q61" s="1050"/>
      <c r="R61" s="1132">
        <v>41969</v>
      </c>
      <c r="S61" s="1755">
        <f>R61+(365*3)+2</f>
        <v>43066</v>
      </c>
      <c r="T61" s="1755"/>
      <c r="U61" s="1050">
        <f>($X$1-S61)/365</f>
        <v>0.93150684931506844</v>
      </c>
      <c r="V61" s="1110">
        <f t="shared" si="7"/>
        <v>3.7260273972602738</v>
      </c>
      <c r="W61" s="1050">
        <f>H61*U61*8/100</f>
        <v>52164.383561643837</v>
      </c>
      <c r="X61" s="1050">
        <f>N61*U61*18/100</f>
        <v>489829.70958904101</v>
      </c>
      <c r="Y61" s="1111">
        <f t="shared" si="20"/>
        <v>135725.54082191779</v>
      </c>
      <c r="Z61" s="1111">
        <f t="shared" si="9"/>
        <v>52164.38356164383</v>
      </c>
      <c r="AA61" s="1050">
        <f t="shared" si="10"/>
        <v>1873481.3835616438</v>
      </c>
      <c r="AB61" s="1050">
        <f t="shared" si="17"/>
        <v>824756.71839111566</v>
      </c>
      <c r="AC61" s="1050">
        <f t="shared" si="0"/>
        <v>2646073.7183911158</v>
      </c>
      <c r="AD61" s="1200">
        <v>700000</v>
      </c>
      <c r="AE61" s="1200">
        <f t="shared" si="1"/>
        <v>1524756.7183911158</v>
      </c>
      <c r="AF61" s="1226">
        <f t="shared" si="2"/>
        <v>1121317</v>
      </c>
      <c r="AG61" s="1129"/>
      <c r="AH61" s="1129"/>
      <c r="AI61" s="1129"/>
      <c r="AJ61" s="1129"/>
      <c r="AK61" s="1129"/>
      <c r="AL61" s="1129"/>
      <c r="AM61" s="1129"/>
      <c r="AN61" s="1129"/>
      <c r="AO61" s="1129"/>
      <c r="AP61" s="1129"/>
      <c r="AQ61" s="1129"/>
      <c r="AR61" s="1129"/>
      <c r="AS61" s="1129"/>
      <c r="AT61" s="1129"/>
      <c r="AU61" s="1129"/>
      <c r="AV61" s="1129"/>
      <c r="AW61" s="1129"/>
      <c r="AX61" s="1129"/>
      <c r="AY61" s="1129"/>
      <c r="AZ61" s="1129"/>
      <c r="BA61" s="1129"/>
      <c r="BB61" s="1129"/>
      <c r="BC61" s="1129"/>
      <c r="BD61" s="1129"/>
      <c r="BE61" s="1129"/>
      <c r="BF61" s="1129"/>
      <c r="BG61" s="1129"/>
    </row>
    <row r="62" spans="1:60" s="1112" customFormat="1">
      <c r="A62" s="1225">
        <v>61</v>
      </c>
      <c r="B62" s="1050" t="s">
        <v>3095</v>
      </c>
      <c r="C62" s="1050" t="s">
        <v>3096</v>
      </c>
      <c r="D62" s="1050">
        <v>860034</v>
      </c>
      <c r="E62" s="1050">
        <f t="shared" si="6"/>
        <v>1045722.0770530661</v>
      </c>
      <c r="F62" s="1050">
        <f t="shared" si="12"/>
        <v>1905756.0770530661</v>
      </c>
      <c r="G62" s="1050">
        <v>781100</v>
      </c>
      <c r="H62" s="1050">
        <v>775034</v>
      </c>
      <c r="I62" s="1050">
        <v>0</v>
      </c>
      <c r="J62" s="1050">
        <f t="shared" ref="J62:J85" si="21">+H62+I62</f>
        <v>775034</v>
      </c>
      <c r="K62" s="1050">
        <f>78934+34700+200000+150000+150000+50000+35000+30000+46400</f>
        <v>775034</v>
      </c>
      <c r="L62" s="1050">
        <f>78934+46400</f>
        <v>125334</v>
      </c>
      <c r="M62" s="1107">
        <f t="shared" si="5"/>
        <v>649700</v>
      </c>
      <c r="N62" s="1050"/>
      <c r="O62" s="1050"/>
      <c r="P62" s="1050">
        <f>M62-O62</f>
        <v>649700</v>
      </c>
      <c r="Q62" s="1050"/>
      <c r="R62" s="1132">
        <v>41688</v>
      </c>
      <c r="S62" s="1755">
        <f>R62+(365*3)+2</f>
        <v>42785</v>
      </c>
      <c r="T62" s="1755"/>
      <c r="U62" s="1050">
        <f>($X$1-S62)/365</f>
        <v>1.7013698630136986</v>
      </c>
      <c r="V62" s="1110">
        <f t="shared" si="7"/>
        <v>6.8054794520547945</v>
      </c>
      <c r="W62" s="1050">
        <f>H62*U62*8/100</f>
        <v>105489.55923287671</v>
      </c>
      <c r="X62" s="1050">
        <f>K62*U62*18/100</f>
        <v>237351.50827397261</v>
      </c>
      <c r="Y62" s="1111">
        <f t="shared" si="20"/>
        <v>117058.87430136987</v>
      </c>
      <c r="Z62" s="1111">
        <f t="shared" si="9"/>
        <v>105489.55923287671</v>
      </c>
      <c r="AA62" s="1050">
        <f t="shared" si="10"/>
        <v>965523.55923287675</v>
      </c>
      <c r="AB62" s="1050">
        <f t="shared" si="17"/>
        <v>1045722.0770530661</v>
      </c>
      <c r="AC62" s="1050">
        <f t="shared" ref="AC62:AC92" si="22">+D62+AB62</f>
        <v>1905756.0770530661</v>
      </c>
      <c r="AD62" s="1200">
        <v>775034</v>
      </c>
      <c r="AE62" s="1200">
        <f t="shared" si="1"/>
        <v>1820756.0770530661</v>
      </c>
      <c r="AF62" s="1226">
        <f t="shared" si="2"/>
        <v>85000</v>
      </c>
      <c r="AG62" s="1129"/>
      <c r="AH62" s="1129"/>
      <c r="AI62" s="1129"/>
      <c r="AJ62" s="1129"/>
      <c r="AK62" s="1129"/>
      <c r="AL62" s="1129"/>
      <c r="AM62" s="1129"/>
      <c r="AN62" s="1129"/>
      <c r="AO62" s="1129"/>
      <c r="AP62" s="1129"/>
      <c r="AQ62" s="1129"/>
      <c r="AR62" s="1129"/>
      <c r="AS62" s="1129"/>
      <c r="AT62" s="1129"/>
      <c r="AU62" s="1129"/>
      <c r="AV62" s="1129"/>
      <c r="AW62" s="1129"/>
      <c r="AX62" s="1129"/>
      <c r="AY62" s="1129"/>
      <c r="AZ62" s="1129"/>
      <c r="BA62" s="1129"/>
      <c r="BB62" s="1129"/>
      <c r="BC62" s="1129"/>
      <c r="BD62" s="1129"/>
      <c r="BE62" s="1129"/>
      <c r="BF62" s="1129"/>
      <c r="BG62" s="1129"/>
    </row>
    <row r="63" spans="1:60" s="1124" customFormat="1">
      <c r="A63" s="1228">
        <v>62</v>
      </c>
      <c r="B63" s="1053" t="s">
        <v>3097</v>
      </c>
      <c r="C63" s="1054" t="s">
        <v>3098</v>
      </c>
      <c r="D63" s="1053">
        <v>1451947</v>
      </c>
      <c r="E63" s="1053">
        <f t="shared" si="6"/>
        <v>2163724.5162684908</v>
      </c>
      <c r="F63" s="1053">
        <f t="shared" si="12"/>
        <v>3615671.5162684908</v>
      </c>
      <c r="G63" s="1053">
        <f>D63</f>
        <v>1451947</v>
      </c>
      <c r="H63" s="1053">
        <f>+M63+L63</f>
        <v>1451947</v>
      </c>
      <c r="I63" s="1053">
        <f>+W63</f>
        <v>281637.93863013695</v>
      </c>
      <c r="J63" s="1053">
        <f t="shared" si="21"/>
        <v>1733584.9386301369</v>
      </c>
      <c r="K63" s="1053">
        <f>250000+486416+399531+266000+50000</f>
        <v>1451947</v>
      </c>
      <c r="L63" s="1053">
        <v>50000</v>
      </c>
      <c r="M63" s="1118">
        <f t="shared" si="5"/>
        <v>1401947</v>
      </c>
      <c r="N63" s="1053"/>
      <c r="O63" s="1053"/>
      <c r="P63" s="1053"/>
      <c r="Q63" s="1053"/>
      <c r="R63" s="1119">
        <v>41424</v>
      </c>
      <c r="S63" s="1754">
        <f>R63+(365*3)+2</f>
        <v>42521</v>
      </c>
      <c r="T63" s="1754"/>
      <c r="U63" s="1053">
        <f>($X$1-S63)/365</f>
        <v>2.4246575342465753</v>
      </c>
      <c r="V63" s="1122">
        <f t="shared" si="7"/>
        <v>9.6986301369863011</v>
      </c>
      <c r="W63" s="1053">
        <f>H63*U63*8/100</f>
        <v>281637.93863013695</v>
      </c>
      <c r="X63" s="1053">
        <f>K63*U63*18/100</f>
        <v>633685.36191780819</v>
      </c>
      <c r="Y63" s="1123">
        <f t="shared" si="20"/>
        <v>281637.93863013695</v>
      </c>
      <c r="Z63" s="1123">
        <f t="shared" si="9"/>
        <v>281637.93863013695</v>
      </c>
      <c r="AA63" s="1053">
        <f t="shared" si="10"/>
        <v>1733584.9386301369</v>
      </c>
      <c r="AB63" s="1053">
        <v>2163724.5162684908</v>
      </c>
      <c r="AC63" s="1053">
        <f t="shared" si="22"/>
        <v>3615671.5162684908</v>
      </c>
      <c r="AD63" s="1202">
        <v>1451947</v>
      </c>
      <c r="AE63" s="1202">
        <f t="shared" si="1"/>
        <v>3615671.5162684908</v>
      </c>
      <c r="AF63" s="1229">
        <f t="shared" si="2"/>
        <v>0</v>
      </c>
      <c r="AG63" s="1129"/>
      <c r="AH63" s="1129"/>
      <c r="AI63" s="1129"/>
      <c r="AJ63" s="1129"/>
      <c r="AK63" s="1129"/>
      <c r="AL63" s="1129"/>
      <c r="AM63" s="1129"/>
      <c r="AN63" s="1129"/>
      <c r="AO63" s="1129"/>
      <c r="AP63" s="1129"/>
      <c r="AQ63" s="1129"/>
      <c r="AR63" s="1129"/>
      <c r="AS63" s="1129"/>
      <c r="AT63" s="1129"/>
      <c r="AU63" s="1129"/>
      <c r="AV63" s="1129"/>
      <c r="AW63" s="1129"/>
      <c r="AX63" s="1129"/>
      <c r="AY63" s="1129"/>
      <c r="AZ63" s="1129"/>
      <c r="BA63" s="1129"/>
      <c r="BB63" s="1129"/>
      <c r="BC63" s="1129"/>
      <c r="BD63" s="1129"/>
      <c r="BE63" s="1129"/>
      <c r="BF63" s="1129"/>
      <c r="BG63" s="1129"/>
    </row>
    <row r="64" spans="1:60" s="1117" customFormat="1">
      <c r="A64" s="1227">
        <v>63</v>
      </c>
      <c r="B64" s="1052" t="s">
        <v>3099</v>
      </c>
      <c r="C64" s="1052" t="s">
        <v>3100</v>
      </c>
      <c r="D64" s="1052">
        <v>2785768</v>
      </c>
      <c r="E64" s="1052">
        <f t="shared" si="6"/>
        <v>0</v>
      </c>
      <c r="F64" s="1052">
        <f t="shared" si="12"/>
        <v>2785768</v>
      </c>
      <c r="G64" s="1052">
        <f>D64</f>
        <v>2785768</v>
      </c>
      <c r="H64" s="1052"/>
      <c r="I64" s="1052"/>
      <c r="J64" s="1052">
        <f t="shared" si="21"/>
        <v>0</v>
      </c>
      <c r="K64" s="1052"/>
      <c r="L64" s="1052"/>
      <c r="M64" s="1113">
        <f t="shared" si="5"/>
        <v>0</v>
      </c>
      <c r="N64" s="1052"/>
      <c r="O64" s="1052"/>
      <c r="P64" s="1052"/>
      <c r="Q64" s="1052"/>
      <c r="R64" s="1052"/>
      <c r="S64" s="1752"/>
      <c r="T64" s="1752"/>
      <c r="U64" s="1052"/>
      <c r="V64" s="1115">
        <f t="shared" si="7"/>
        <v>475.68219178082194</v>
      </c>
      <c r="W64" s="1052"/>
      <c r="X64" s="1052"/>
      <c r="Y64" s="1116">
        <f t="shared" si="20"/>
        <v>0</v>
      </c>
      <c r="Z64" s="1116">
        <f t="shared" si="9"/>
        <v>0</v>
      </c>
      <c r="AA64" s="1052">
        <f t="shared" si="10"/>
        <v>2785768</v>
      </c>
      <c r="AB64" s="1052">
        <f t="shared" si="17"/>
        <v>0</v>
      </c>
      <c r="AC64" s="1052">
        <f t="shared" si="22"/>
        <v>2785768</v>
      </c>
      <c r="AD64" s="1201">
        <v>0</v>
      </c>
      <c r="AE64" s="1201">
        <f t="shared" si="1"/>
        <v>0</v>
      </c>
      <c r="AF64" s="1250">
        <f t="shared" si="2"/>
        <v>2785768</v>
      </c>
      <c r="AG64" s="1129"/>
      <c r="AH64" s="1129"/>
      <c r="AI64" s="1129"/>
      <c r="AJ64" s="1129"/>
      <c r="AK64" s="1129"/>
      <c r="AL64" s="1129"/>
      <c r="AM64" s="1129"/>
      <c r="AN64" s="1129"/>
      <c r="AO64" s="1129"/>
      <c r="AP64" s="1129"/>
      <c r="AQ64" s="1129"/>
      <c r="AR64" s="1129"/>
      <c r="AS64" s="1129"/>
      <c r="AT64" s="1129"/>
      <c r="AU64" s="1129"/>
      <c r="AV64" s="1129"/>
      <c r="AW64" s="1129"/>
      <c r="AX64" s="1129"/>
      <c r="AY64" s="1129"/>
      <c r="AZ64" s="1129"/>
      <c r="BA64" s="1129"/>
      <c r="BB64" s="1129"/>
      <c r="BC64" s="1129"/>
      <c r="BD64" s="1129"/>
      <c r="BE64" s="1129"/>
      <c r="BF64" s="1129"/>
      <c r="BG64" s="1129"/>
    </row>
    <row r="65" spans="1:59" s="1117" customFormat="1">
      <c r="A65" s="1227">
        <v>64</v>
      </c>
      <c r="B65" s="1052" t="s">
        <v>2928</v>
      </c>
      <c r="C65" s="1052" t="s">
        <v>3101</v>
      </c>
      <c r="D65" s="1052">
        <v>1575425</v>
      </c>
      <c r="E65" s="1052">
        <f t="shared" si="6"/>
        <v>0</v>
      </c>
      <c r="F65" s="1052">
        <f t="shared" si="12"/>
        <v>1575425</v>
      </c>
      <c r="G65" s="1052"/>
      <c r="H65" s="1052"/>
      <c r="I65" s="1052"/>
      <c r="J65" s="1052">
        <f t="shared" si="21"/>
        <v>0</v>
      </c>
      <c r="K65" s="1052">
        <f>200000+475000</f>
        <v>675000</v>
      </c>
      <c r="L65" s="1052"/>
      <c r="M65" s="1113">
        <f t="shared" ref="M65:M80" si="23">K65-L65</f>
        <v>675000</v>
      </c>
      <c r="N65" s="1052"/>
      <c r="O65" s="1052"/>
      <c r="P65" s="1052"/>
      <c r="Q65" s="1052"/>
      <c r="R65" s="1052"/>
      <c r="S65" s="1752"/>
      <c r="T65" s="1752"/>
      <c r="U65" s="1052"/>
      <c r="V65" s="1115">
        <f t="shared" si="7"/>
        <v>475.68219178082194</v>
      </c>
      <c r="W65" s="1052"/>
      <c r="X65" s="1052"/>
      <c r="Y65" s="1116">
        <f t="shared" si="20"/>
        <v>0</v>
      </c>
      <c r="Z65" s="1116">
        <f t="shared" ref="Z65:Z89" si="24">$H65*8/100*$U65</f>
        <v>0</v>
      </c>
      <c r="AA65" s="1052">
        <f t="shared" ref="AA65:AA92" si="25">+D65+Z65</f>
        <v>1575425</v>
      </c>
      <c r="AB65" s="1052">
        <f t="shared" si="17"/>
        <v>0</v>
      </c>
      <c r="AC65" s="1052">
        <f t="shared" si="22"/>
        <v>1575425</v>
      </c>
      <c r="AD65" s="1201">
        <v>0</v>
      </c>
      <c r="AE65" s="1201">
        <f t="shared" si="1"/>
        <v>0</v>
      </c>
      <c r="AF65" s="1250">
        <f t="shared" si="2"/>
        <v>1575425</v>
      </c>
      <c r="AG65" s="1129"/>
      <c r="AH65" s="1129"/>
      <c r="AI65" s="1129"/>
      <c r="AJ65" s="1129"/>
      <c r="AK65" s="1129"/>
      <c r="AL65" s="1129"/>
      <c r="AM65" s="1129"/>
      <c r="AN65" s="1129"/>
      <c r="AO65" s="1129"/>
      <c r="AP65" s="1129"/>
      <c r="AQ65" s="1129"/>
      <c r="AR65" s="1129"/>
      <c r="AS65" s="1129"/>
      <c r="AT65" s="1129"/>
      <c r="AU65" s="1129"/>
      <c r="AV65" s="1129"/>
      <c r="AW65" s="1129"/>
      <c r="AX65" s="1129"/>
      <c r="AY65" s="1129"/>
      <c r="AZ65" s="1129"/>
      <c r="BA65" s="1129"/>
      <c r="BB65" s="1129"/>
      <c r="BC65" s="1129"/>
      <c r="BD65" s="1129"/>
      <c r="BE65" s="1129"/>
      <c r="BF65" s="1129"/>
      <c r="BG65" s="1129"/>
    </row>
    <row r="66" spans="1:59">
      <c r="A66" s="1225">
        <v>65</v>
      </c>
      <c r="B66" s="1050" t="s">
        <v>2929</v>
      </c>
      <c r="C66" s="1050" t="s">
        <v>2968</v>
      </c>
      <c r="D66" s="1050">
        <v>1357577</v>
      </c>
      <c r="E66" s="1050">
        <f t="shared" ref="E66:E89" si="26">+AB66</f>
        <v>1600772.3873259057</v>
      </c>
      <c r="F66" s="1056">
        <f t="shared" si="12"/>
        <v>2958349.3873259057</v>
      </c>
      <c r="G66" s="1056">
        <f>D66</f>
        <v>1357577</v>
      </c>
      <c r="H66" s="1056">
        <f>+K66</f>
        <v>1157577</v>
      </c>
      <c r="I66" s="1056"/>
      <c r="J66" s="1056">
        <f t="shared" si="21"/>
        <v>1157577</v>
      </c>
      <c r="K66" s="1056">
        <f>200000+200000+300000+155437+202140+100000</f>
        <v>1157577</v>
      </c>
      <c r="L66" s="1056">
        <v>0</v>
      </c>
      <c r="M66" s="1126">
        <f t="shared" si="23"/>
        <v>1157577</v>
      </c>
      <c r="N66" s="1056"/>
      <c r="O66" s="1056"/>
      <c r="P66" s="1056"/>
      <c r="Q66" s="1056"/>
      <c r="R66" s="1134">
        <v>41637</v>
      </c>
      <c r="S66" s="1753">
        <f>R66+(365*3)+2</f>
        <v>42734</v>
      </c>
      <c r="T66" s="1753"/>
      <c r="U66" s="1056">
        <f>($X$1-S66)/365</f>
        <v>1.8410958904109589</v>
      </c>
      <c r="V66" s="1110">
        <f t="shared" ref="V66:V92" si="27">($X$1-S66)/365*4</f>
        <v>7.3643835616438356</v>
      </c>
      <c r="W66" s="1056">
        <f>K66*U66*8/100</f>
        <v>170496.82060273972</v>
      </c>
      <c r="X66" s="1056">
        <f>K66*U66*18/100</f>
        <v>383617.84635616437</v>
      </c>
      <c r="Y66" s="1128">
        <f t="shared" si="20"/>
        <v>199954.35484931507</v>
      </c>
      <c r="Z66" s="1128">
        <f t="shared" si="24"/>
        <v>170496.82060273972</v>
      </c>
      <c r="AA66" s="1056">
        <f t="shared" si="25"/>
        <v>1528073.8206027397</v>
      </c>
      <c r="AB66" s="1050">
        <f t="shared" si="17"/>
        <v>1600772.3873259057</v>
      </c>
      <c r="AC66" s="1050">
        <f t="shared" si="22"/>
        <v>2958349.3873259057</v>
      </c>
      <c r="AD66" s="1200">
        <v>1157577</v>
      </c>
      <c r="AE66" s="1200">
        <f t="shared" si="1"/>
        <v>2758349.3873259057</v>
      </c>
      <c r="AF66" s="1226">
        <f t="shared" si="2"/>
        <v>200000</v>
      </c>
    </row>
    <row r="67" spans="1:59" s="1117" customFormat="1">
      <c r="A67" s="1227">
        <v>66</v>
      </c>
      <c r="B67" s="1052" t="s">
        <v>2930</v>
      </c>
      <c r="C67" s="1052" t="s">
        <v>2969</v>
      </c>
      <c r="D67" s="1052">
        <v>1828297</v>
      </c>
      <c r="E67" s="1052">
        <f t="shared" si="26"/>
        <v>0</v>
      </c>
      <c r="F67" s="1052">
        <f t="shared" si="12"/>
        <v>1828297</v>
      </c>
      <c r="G67" s="1052">
        <v>1082941</v>
      </c>
      <c r="H67" s="1052"/>
      <c r="I67" s="1052"/>
      <c r="J67" s="1052">
        <f t="shared" si="21"/>
        <v>0</v>
      </c>
      <c r="K67" s="1052">
        <f>300000+421000</f>
        <v>721000</v>
      </c>
      <c r="L67" s="1052">
        <f>300000+421000</f>
        <v>721000</v>
      </c>
      <c r="M67" s="1113">
        <f t="shared" si="23"/>
        <v>0</v>
      </c>
      <c r="N67" s="1052"/>
      <c r="O67" s="1052"/>
      <c r="P67" s="1052"/>
      <c r="Q67" s="1052"/>
      <c r="R67" s="1052"/>
      <c r="S67" s="1752"/>
      <c r="T67" s="1752"/>
      <c r="U67" s="1052"/>
      <c r="V67" s="1115">
        <f t="shared" si="27"/>
        <v>475.68219178082194</v>
      </c>
      <c r="W67" s="1052"/>
      <c r="X67" s="1052"/>
      <c r="Y67" s="1116">
        <f t="shared" si="20"/>
        <v>0</v>
      </c>
      <c r="Z67" s="1116">
        <f t="shared" si="24"/>
        <v>0</v>
      </c>
      <c r="AA67" s="1052">
        <f t="shared" si="25"/>
        <v>1828297</v>
      </c>
      <c r="AB67" s="1052">
        <f t="shared" si="17"/>
        <v>0</v>
      </c>
      <c r="AC67" s="1052">
        <f t="shared" si="22"/>
        <v>1828297</v>
      </c>
      <c r="AD67" s="1201">
        <v>0</v>
      </c>
      <c r="AE67" s="1201">
        <f t="shared" ref="AE67:AE92" si="28">+AD67+AB67</f>
        <v>0</v>
      </c>
      <c r="AF67" s="1250">
        <f t="shared" ref="AF67:AF92" si="29">+D67-AD67</f>
        <v>1828297</v>
      </c>
      <c r="AG67" s="1129"/>
      <c r="AH67" s="1129"/>
      <c r="AI67" s="1129"/>
      <c r="AJ67" s="1129"/>
      <c r="AK67" s="1129"/>
      <c r="AL67" s="1129"/>
      <c r="AM67" s="1129"/>
      <c r="AN67" s="1129"/>
      <c r="AO67" s="1129"/>
      <c r="AP67" s="1129"/>
      <c r="AQ67" s="1129"/>
      <c r="AR67" s="1129"/>
      <c r="AS67" s="1129"/>
      <c r="AT67" s="1129"/>
      <c r="AU67" s="1129"/>
      <c r="AV67" s="1129"/>
      <c r="AW67" s="1129"/>
      <c r="AX67" s="1129"/>
      <c r="AY67" s="1129"/>
      <c r="AZ67" s="1129"/>
      <c r="BA67" s="1129"/>
      <c r="BB67" s="1129"/>
      <c r="BC67" s="1129"/>
      <c r="BD67" s="1129"/>
      <c r="BE67" s="1129"/>
      <c r="BF67" s="1129"/>
      <c r="BG67" s="1129"/>
    </row>
    <row r="68" spans="1:59">
      <c r="A68" s="1225">
        <v>67</v>
      </c>
      <c r="B68" s="1050" t="s">
        <v>3102</v>
      </c>
      <c r="C68" s="1050" t="s">
        <v>2970</v>
      </c>
      <c r="D68" s="1050">
        <v>4047700</v>
      </c>
      <c r="E68" s="1050">
        <f t="shared" si="26"/>
        <v>4297451.6137302313</v>
      </c>
      <c r="F68" s="1056">
        <f t="shared" si="12"/>
        <v>8345151.6137302313</v>
      </c>
      <c r="G68" s="1056">
        <v>2192120</v>
      </c>
      <c r="H68" s="1056">
        <f>+K68</f>
        <v>2867120</v>
      </c>
      <c r="I68" s="1056"/>
      <c r="J68" s="1056">
        <f t="shared" si="21"/>
        <v>2867120</v>
      </c>
      <c r="K68" s="1056">
        <f>675000+742120+950000+500000</f>
        <v>2867120</v>
      </c>
      <c r="L68" s="1056">
        <f>675000+742120+950000+500000</f>
        <v>2867120</v>
      </c>
      <c r="M68" s="1126">
        <f t="shared" si="23"/>
        <v>0</v>
      </c>
      <c r="N68" s="1056"/>
      <c r="O68" s="1056"/>
      <c r="P68" s="1056"/>
      <c r="Q68" s="1056"/>
      <c r="R68" s="1134">
        <v>41470</v>
      </c>
      <c r="S68" s="1753">
        <f>R68+(365*3)+2</f>
        <v>42567</v>
      </c>
      <c r="T68" s="1753"/>
      <c r="U68" s="1056">
        <f>($X$1-S68)/365</f>
        <v>2.2986301369863016</v>
      </c>
      <c r="V68" s="1110">
        <f t="shared" si="27"/>
        <v>9.1945205479452063</v>
      </c>
      <c r="W68" s="1056">
        <f>K68*U68*8/100</f>
        <v>527235.87506849319</v>
      </c>
      <c r="X68" s="1056">
        <f>K68*U68*18/100</f>
        <v>1186280.7189041097</v>
      </c>
      <c r="Y68" s="1128">
        <f t="shared" si="20"/>
        <v>744333.2164383562</v>
      </c>
      <c r="Z68" s="1128">
        <f t="shared" si="24"/>
        <v>527235.87506849319</v>
      </c>
      <c r="AA68" s="1056">
        <f t="shared" si="25"/>
        <v>4574935.8750684932</v>
      </c>
      <c r="AB68" s="1050">
        <f t="shared" si="17"/>
        <v>4297451.6137302313</v>
      </c>
      <c r="AC68" s="1050">
        <f t="shared" si="22"/>
        <v>8345151.6137302313</v>
      </c>
      <c r="AD68" s="1200">
        <v>2867120</v>
      </c>
      <c r="AE68" s="1200">
        <f t="shared" si="28"/>
        <v>7164571.6137302313</v>
      </c>
      <c r="AF68" s="1226">
        <f t="shared" si="29"/>
        <v>1180580</v>
      </c>
    </row>
    <row r="69" spans="1:59" s="1257" customFormat="1">
      <c r="A69" s="1251">
        <v>68</v>
      </c>
      <c r="B69" s="1252" t="s">
        <v>2931</v>
      </c>
      <c r="C69" s="1252" t="s">
        <v>2971</v>
      </c>
      <c r="D69" s="1252">
        <v>1954090</v>
      </c>
      <c r="E69" s="1065">
        <f t="shared" si="26"/>
        <v>0</v>
      </c>
      <c r="F69" s="1065">
        <f t="shared" si="12"/>
        <v>1954090</v>
      </c>
      <c r="G69" s="1065">
        <v>1079090</v>
      </c>
      <c r="H69" s="1065">
        <f>+K69</f>
        <v>300000</v>
      </c>
      <c r="I69" s="1065">
        <f>+W69</f>
        <v>0</v>
      </c>
      <c r="J69" s="1065">
        <f t="shared" si="21"/>
        <v>300000</v>
      </c>
      <c r="K69" s="1065">
        <f>300000</f>
        <v>300000</v>
      </c>
      <c r="L69" s="1065">
        <v>300000</v>
      </c>
      <c r="M69" s="1147">
        <f t="shared" si="23"/>
        <v>0</v>
      </c>
      <c r="N69" s="1065"/>
      <c r="O69" s="1065"/>
      <c r="P69" s="1065"/>
      <c r="Q69" s="1065"/>
      <c r="R69" s="1065"/>
      <c r="S69" s="1762"/>
      <c r="T69" s="1762"/>
      <c r="U69" s="1065"/>
      <c r="V69" s="1211">
        <f t="shared" si="27"/>
        <v>475.68219178082194</v>
      </c>
      <c r="W69" s="1065"/>
      <c r="X69" s="1065"/>
      <c r="Y69" s="1149">
        <f t="shared" si="20"/>
        <v>0</v>
      </c>
      <c r="Z69" s="1149">
        <f t="shared" si="24"/>
        <v>0</v>
      </c>
      <c r="AA69" s="1065">
        <f t="shared" si="25"/>
        <v>1954090</v>
      </c>
      <c r="AB69" s="1252">
        <v>0</v>
      </c>
      <c r="AC69" s="1252">
        <f t="shared" si="22"/>
        <v>1954090</v>
      </c>
      <c r="AD69" s="1255">
        <v>0</v>
      </c>
      <c r="AE69" s="1255">
        <f t="shared" si="28"/>
        <v>0</v>
      </c>
      <c r="AF69" s="1256">
        <f t="shared" si="29"/>
        <v>1954090</v>
      </c>
    </row>
    <row r="70" spans="1:59" s="1117" customFormat="1">
      <c r="A70" s="1227">
        <v>69</v>
      </c>
      <c r="B70" s="1052" t="s">
        <v>2932</v>
      </c>
      <c r="C70" s="1052" t="s">
        <v>2972</v>
      </c>
      <c r="D70" s="1052">
        <v>1994146</v>
      </c>
      <c r="E70" s="1052">
        <f t="shared" si="26"/>
        <v>0</v>
      </c>
      <c r="F70" s="1052">
        <f t="shared" si="12"/>
        <v>1994146</v>
      </c>
      <c r="G70" s="1052">
        <v>1098346</v>
      </c>
      <c r="H70" s="1052">
        <f>K70</f>
        <v>1198346</v>
      </c>
      <c r="I70" s="1052">
        <f>D70-H70</f>
        <v>795800</v>
      </c>
      <c r="J70" s="1052">
        <f t="shared" si="21"/>
        <v>1994146</v>
      </c>
      <c r="K70" s="1052">
        <f>100000+472533+325813+300000</f>
        <v>1198346</v>
      </c>
      <c r="L70" s="1052">
        <f>100000+325813+300000+472533</f>
        <v>1198346</v>
      </c>
      <c r="M70" s="1113" t="s">
        <v>227</v>
      </c>
      <c r="N70" s="1052" t="s">
        <v>227</v>
      </c>
      <c r="O70" s="1052" t="s">
        <v>227</v>
      </c>
      <c r="P70" s="1052"/>
      <c r="Q70" s="1052"/>
      <c r="R70" s="1052"/>
      <c r="S70" s="1752"/>
      <c r="T70" s="1752"/>
      <c r="U70" s="1052"/>
      <c r="V70" s="1115">
        <f t="shared" si="27"/>
        <v>475.68219178082194</v>
      </c>
      <c r="W70" s="1052"/>
      <c r="X70" s="1052"/>
      <c r="Y70" s="1116">
        <f t="shared" si="20"/>
        <v>0</v>
      </c>
      <c r="Z70" s="1116">
        <f t="shared" si="24"/>
        <v>0</v>
      </c>
      <c r="AA70" s="1052">
        <f t="shared" si="25"/>
        <v>1994146</v>
      </c>
      <c r="AB70" s="1052">
        <v>0</v>
      </c>
      <c r="AC70" s="1052">
        <f t="shared" si="22"/>
        <v>1994146</v>
      </c>
      <c r="AD70" s="1201">
        <v>0</v>
      </c>
      <c r="AE70" s="1201">
        <f t="shared" si="28"/>
        <v>0</v>
      </c>
      <c r="AF70" s="1250">
        <f t="shared" si="29"/>
        <v>1994146</v>
      </c>
      <c r="AG70" s="1129"/>
      <c r="AH70" s="1129"/>
      <c r="AI70" s="1129"/>
      <c r="AJ70" s="1129"/>
      <c r="AK70" s="1129"/>
      <c r="AL70" s="1129"/>
      <c r="AM70" s="1129"/>
      <c r="AN70" s="1129"/>
      <c r="AO70" s="1129"/>
      <c r="AP70" s="1129"/>
      <c r="AQ70" s="1129"/>
      <c r="AR70" s="1129"/>
      <c r="AS70" s="1129"/>
      <c r="AT70" s="1129"/>
      <c r="AU70" s="1129"/>
      <c r="AV70" s="1129"/>
      <c r="AW70" s="1129"/>
      <c r="AX70" s="1129"/>
      <c r="AY70" s="1129"/>
      <c r="AZ70" s="1129"/>
      <c r="BA70" s="1129"/>
      <c r="BB70" s="1129"/>
      <c r="BC70" s="1129"/>
      <c r="BD70" s="1129"/>
      <c r="BE70" s="1129"/>
      <c r="BF70" s="1129"/>
      <c r="BG70" s="1129"/>
    </row>
    <row r="71" spans="1:59" s="1117" customFormat="1" ht="30">
      <c r="A71" s="1227">
        <v>70</v>
      </c>
      <c r="B71" s="1052" t="s">
        <v>2933</v>
      </c>
      <c r="C71" s="1055" t="s">
        <v>3103</v>
      </c>
      <c r="D71" s="1052">
        <v>4645563</v>
      </c>
      <c r="E71" s="1052">
        <f t="shared" si="26"/>
        <v>0</v>
      </c>
      <c r="F71" s="1052">
        <f t="shared" si="12"/>
        <v>4645563</v>
      </c>
      <c r="G71" s="1052">
        <v>2017500</v>
      </c>
      <c r="H71" s="1052"/>
      <c r="I71" s="1052"/>
      <c r="J71" s="1052">
        <f t="shared" si="21"/>
        <v>0</v>
      </c>
      <c r="K71" s="1052"/>
      <c r="L71" s="1052"/>
      <c r="M71" s="1113">
        <f t="shared" si="23"/>
        <v>0</v>
      </c>
      <c r="N71" s="1052"/>
      <c r="O71" s="1052"/>
      <c r="P71" s="1052"/>
      <c r="Q71" s="1052"/>
      <c r="R71" s="1052"/>
      <c r="S71" s="1752"/>
      <c r="T71" s="1752"/>
      <c r="U71" s="1052"/>
      <c r="V71" s="1115">
        <f t="shared" si="27"/>
        <v>475.68219178082194</v>
      </c>
      <c r="W71" s="1052"/>
      <c r="X71" s="1052"/>
      <c r="Y71" s="1116">
        <f t="shared" si="20"/>
        <v>0</v>
      </c>
      <c r="Z71" s="1116">
        <f t="shared" si="24"/>
        <v>0</v>
      </c>
      <c r="AA71" s="1052">
        <f t="shared" si="25"/>
        <v>4645563</v>
      </c>
      <c r="AB71" s="1052">
        <f t="shared" si="17"/>
        <v>0</v>
      </c>
      <c r="AC71" s="1052">
        <f t="shared" si="22"/>
        <v>4645563</v>
      </c>
      <c r="AD71" s="1201">
        <v>0</v>
      </c>
      <c r="AE71" s="1201">
        <f t="shared" si="28"/>
        <v>0</v>
      </c>
      <c r="AF71" s="1250">
        <f t="shared" si="29"/>
        <v>4645563</v>
      </c>
      <c r="AG71" s="1129"/>
      <c r="AH71" s="1129"/>
      <c r="AI71" s="1129"/>
      <c r="AJ71" s="1129"/>
      <c r="AK71" s="1129"/>
      <c r="AL71" s="1129"/>
      <c r="AM71" s="1129"/>
      <c r="AN71" s="1129"/>
      <c r="AO71" s="1129"/>
      <c r="AP71" s="1129"/>
      <c r="AQ71" s="1129"/>
      <c r="AR71" s="1129"/>
      <c r="AS71" s="1129"/>
      <c r="AT71" s="1129"/>
      <c r="AU71" s="1129"/>
      <c r="AV71" s="1129"/>
      <c r="AW71" s="1129"/>
      <c r="AX71" s="1129"/>
      <c r="AY71" s="1129"/>
      <c r="AZ71" s="1129"/>
      <c r="BA71" s="1129"/>
      <c r="BB71" s="1129"/>
      <c r="BC71" s="1129"/>
      <c r="BD71" s="1129"/>
      <c r="BE71" s="1129"/>
      <c r="BF71" s="1129"/>
      <c r="BG71" s="1129"/>
    </row>
    <row r="72" spans="1:59" s="1117" customFormat="1">
      <c r="A72" s="1227">
        <v>71</v>
      </c>
      <c r="B72" s="1052" t="s">
        <v>2934</v>
      </c>
      <c r="C72" s="1052" t="s">
        <v>2973</v>
      </c>
      <c r="D72" s="1052">
        <v>1409056</v>
      </c>
      <c r="E72" s="1052">
        <f t="shared" si="26"/>
        <v>0</v>
      </c>
      <c r="F72" s="1052">
        <f t="shared" ref="F72:G82" si="30">D72+E72</f>
        <v>1409056</v>
      </c>
      <c r="G72" s="1052">
        <v>725812</v>
      </c>
      <c r="H72" s="1052"/>
      <c r="I72" s="1052"/>
      <c r="J72" s="1052">
        <f t="shared" si="21"/>
        <v>0</v>
      </c>
      <c r="K72" s="1052"/>
      <c r="L72" s="1052"/>
      <c r="M72" s="1113">
        <f t="shared" si="23"/>
        <v>0</v>
      </c>
      <c r="N72" s="1052"/>
      <c r="O72" s="1052"/>
      <c r="P72" s="1052"/>
      <c r="Q72" s="1052"/>
      <c r="R72" s="1052"/>
      <c r="S72" s="1752"/>
      <c r="T72" s="1752"/>
      <c r="U72" s="1052"/>
      <c r="V72" s="1115">
        <f t="shared" si="27"/>
        <v>475.68219178082194</v>
      </c>
      <c r="W72" s="1052"/>
      <c r="X72" s="1052"/>
      <c r="Y72" s="1116">
        <f t="shared" si="20"/>
        <v>0</v>
      </c>
      <c r="Z72" s="1116">
        <f t="shared" si="24"/>
        <v>0</v>
      </c>
      <c r="AA72" s="1052">
        <f t="shared" si="25"/>
        <v>1409056</v>
      </c>
      <c r="AB72" s="1052">
        <f t="shared" si="17"/>
        <v>0</v>
      </c>
      <c r="AC72" s="1052">
        <f t="shared" si="22"/>
        <v>1409056</v>
      </c>
      <c r="AD72" s="1201">
        <v>0</v>
      </c>
      <c r="AE72" s="1201">
        <f t="shared" si="28"/>
        <v>0</v>
      </c>
      <c r="AF72" s="1250">
        <f t="shared" si="29"/>
        <v>1409056</v>
      </c>
      <c r="AG72" s="1129"/>
      <c r="AH72" s="1129"/>
      <c r="AI72" s="1129"/>
      <c r="AJ72" s="1129"/>
      <c r="AK72" s="1129"/>
      <c r="AL72" s="1129"/>
      <c r="AM72" s="1129"/>
      <c r="AN72" s="1129"/>
      <c r="AO72" s="1129"/>
      <c r="AP72" s="1129"/>
      <c r="AQ72" s="1129"/>
      <c r="AR72" s="1129"/>
      <c r="AS72" s="1129"/>
      <c r="AT72" s="1129"/>
      <c r="AU72" s="1129"/>
      <c r="AV72" s="1129"/>
      <c r="AW72" s="1129"/>
      <c r="AX72" s="1129"/>
      <c r="AY72" s="1129"/>
      <c r="AZ72" s="1129"/>
      <c r="BA72" s="1129"/>
      <c r="BB72" s="1129"/>
      <c r="BC72" s="1129"/>
      <c r="BD72" s="1129"/>
      <c r="BE72" s="1129"/>
      <c r="BF72" s="1129"/>
      <c r="BG72" s="1129"/>
    </row>
    <row r="73" spans="1:59" s="1117" customFormat="1">
      <c r="A73" s="1227">
        <v>72</v>
      </c>
      <c r="B73" s="1052" t="s">
        <v>2935</v>
      </c>
      <c r="C73" s="1052" t="s">
        <v>2974</v>
      </c>
      <c r="D73" s="1052">
        <v>1666262</v>
      </c>
      <c r="E73" s="1052">
        <f t="shared" si="26"/>
        <v>0</v>
      </c>
      <c r="F73" s="1052">
        <f>D73+E73</f>
        <v>1666262</v>
      </c>
      <c r="G73" s="1052">
        <v>1069462</v>
      </c>
      <c r="H73" s="1052"/>
      <c r="I73" s="1052"/>
      <c r="J73" s="1052">
        <f t="shared" si="21"/>
        <v>0</v>
      </c>
      <c r="K73" s="1052"/>
      <c r="L73" s="1052"/>
      <c r="M73" s="1113">
        <f t="shared" si="23"/>
        <v>0</v>
      </c>
      <c r="N73" s="1052"/>
      <c r="O73" s="1052"/>
      <c r="P73" s="1052"/>
      <c r="Q73" s="1052"/>
      <c r="R73" s="1052"/>
      <c r="S73" s="1752"/>
      <c r="T73" s="1752"/>
      <c r="U73" s="1052"/>
      <c r="V73" s="1115">
        <f t="shared" si="27"/>
        <v>475.68219178082194</v>
      </c>
      <c r="W73" s="1052"/>
      <c r="X73" s="1052"/>
      <c r="Y73" s="1116">
        <f t="shared" si="20"/>
        <v>0</v>
      </c>
      <c r="Z73" s="1116">
        <f t="shared" si="24"/>
        <v>0</v>
      </c>
      <c r="AA73" s="1052">
        <f t="shared" si="25"/>
        <v>1666262</v>
      </c>
      <c r="AB73" s="1052">
        <f t="shared" si="17"/>
        <v>0</v>
      </c>
      <c r="AC73" s="1052">
        <f t="shared" si="22"/>
        <v>1666262</v>
      </c>
      <c r="AD73" s="1201">
        <v>0</v>
      </c>
      <c r="AE73" s="1201">
        <f t="shared" si="28"/>
        <v>0</v>
      </c>
      <c r="AF73" s="1250">
        <f t="shared" si="29"/>
        <v>1666262</v>
      </c>
      <c r="AG73" s="1129"/>
      <c r="AH73" s="1129"/>
      <c r="AI73" s="1129"/>
      <c r="AJ73" s="1129"/>
      <c r="AK73" s="1129"/>
      <c r="AL73" s="1129"/>
      <c r="AM73" s="1129"/>
      <c r="AN73" s="1129"/>
      <c r="AO73" s="1129"/>
      <c r="AP73" s="1129"/>
      <c r="AQ73" s="1129"/>
      <c r="AR73" s="1129"/>
      <c r="AS73" s="1129"/>
      <c r="AT73" s="1129"/>
      <c r="AU73" s="1129"/>
      <c r="AV73" s="1129"/>
      <c r="AW73" s="1129"/>
      <c r="AX73" s="1129"/>
      <c r="AY73" s="1129"/>
      <c r="AZ73" s="1129"/>
      <c r="BA73" s="1129"/>
      <c r="BB73" s="1129"/>
      <c r="BC73" s="1129"/>
      <c r="BD73" s="1129"/>
      <c r="BE73" s="1129"/>
      <c r="BF73" s="1129"/>
      <c r="BG73" s="1129"/>
    </row>
    <row r="74" spans="1:59" s="1117" customFormat="1">
      <c r="A74" s="1227">
        <v>73</v>
      </c>
      <c r="B74" s="1052" t="s">
        <v>2936</v>
      </c>
      <c r="C74" s="1052" t="s">
        <v>3104</v>
      </c>
      <c r="D74" s="1052">
        <v>2773750</v>
      </c>
      <c r="E74" s="1052">
        <f t="shared" si="26"/>
        <v>0</v>
      </c>
      <c r="F74" s="1052">
        <f t="shared" si="30"/>
        <v>2773750</v>
      </c>
      <c r="G74" s="1052">
        <v>1600000</v>
      </c>
      <c r="H74" s="1052"/>
      <c r="I74" s="1052"/>
      <c r="J74" s="1052">
        <f t="shared" si="21"/>
        <v>0</v>
      </c>
      <c r="K74" s="1052">
        <f>900000</f>
        <v>900000</v>
      </c>
      <c r="L74" s="1052">
        <v>900000</v>
      </c>
      <c r="M74" s="1113">
        <f t="shared" si="23"/>
        <v>0</v>
      </c>
      <c r="N74" s="1052"/>
      <c r="O74" s="1052"/>
      <c r="P74" s="1052"/>
      <c r="Q74" s="1052"/>
      <c r="R74" s="1052"/>
      <c r="S74" s="1752"/>
      <c r="T74" s="1752"/>
      <c r="U74" s="1052"/>
      <c r="V74" s="1115">
        <f t="shared" si="27"/>
        <v>475.68219178082194</v>
      </c>
      <c r="W74" s="1052"/>
      <c r="X74" s="1052"/>
      <c r="Y74" s="1116">
        <f t="shared" si="20"/>
        <v>0</v>
      </c>
      <c r="Z74" s="1116">
        <f t="shared" si="24"/>
        <v>0</v>
      </c>
      <c r="AA74" s="1052">
        <f t="shared" si="25"/>
        <v>2773750</v>
      </c>
      <c r="AB74" s="1052">
        <f t="shared" si="17"/>
        <v>0</v>
      </c>
      <c r="AC74" s="1052">
        <f t="shared" si="22"/>
        <v>2773750</v>
      </c>
      <c r="AD74" s="1201">
        <v>0</v>
      </c>
      <c r="AE74" s="1201">
        <f t="shared" si="28"/>
        <v>0</v>
      </c>
      <c r="AF74" s="1250">
        <f t="shared" si="29"/>
        <v>2773750</v>
      </c>
      <c r="AG74" s="1129"/>
      <c r="AH74" s="1129"/>
      <c r="AI74" s="1129"/>
      <c r="AJ74" s="1129"/>
      <c r="AK74" s="1129"/>
      <c r="AL74" s="1129"/>
      <c r="AM74" s="1129"/>
      <c r="AN74" s="1129"/>
      <c r="AO74" s="1129"/>
      <c r="AP74" s="1129"/>
      <c r="AQ74" s="1129"/>
      <c r="AR74" s="1129"/>
      <c r="AS74" s="1129"/>
      <c r="AT74" s="1129"/>
      <c r="AU74" s="1129"/>
      <c r="AV74" s="1129"/>
      <c r="AW74" s="1129"/>
      <c r="AX74" s="1129"/>
      <c r="AY74" s="1129"/>
      <c r="AZ74" s="1129"/>
      <c r="BA74" s="1129"/>
      <c r="BB74" s="1129"/>
      <c r="BC74" s="1129"/>
      <c r="BD74" s="1129"/>
      <c r="BE74" s="1129"/>
      <c r="BF74" s="1129"/>
      <c r="BG74" s="1129"/>
    </row>
    <row r="75" spans="1:59" s="1117" customFormat="1">
      <c r="A75" s="1227">
        <v>74</v>
      </c>
      <c r="B75" s="1052" t="s">
        <v>2937</v>
      </c>
      <c r="C75" s="1052" t="s">
        <v>2975</v>
      </c>
      <c r="D75" s="1052">
        <v>2109082</v>
      </c>
      <c r="E75" s="1052">
        <f t="shared" si="26"/>
        <v>0</v>
      </c>
      <c r="F75" s="1052">
        <f t="shared" si="30"/>
        <v>2109082</v>
      </c>
      <c r="G75" s="1052">
        <v>1098346</v>
      </c>
      <c r="H75" s="1052"/>
      <c r="I75" s="1052"/>
      <c r="J75" s="1052">
        <f t="shared" si="21"/>
        <v>0</v>
      </c>
      <c r="K75" s="1052">
        <f>433219+300000</f>
        <v>733219</v>
      </c>
      <c r="L75" s="1052">
        <f>433219+90000</f>
        <v>523219</v>
      </c>
      <c r="M75" s="1113">
        <f t="shared" si="23"/>
        <v>210000</v>
      </c>
      <c r="N75" s="1052"/>
      <c r="O75" s="1052"/>
      <c r="P75" s="1052"/>
      <c r="Q75" s="1052"/>
      <c r="R75" s="1052"/>
      <c r="S75" s="1752"/>
      <c r="T75" s="1752"/>
      <c r="U75" s="1052"/>
      <c r="V75" s="1115">
        <f t="shared" si="27"/>
        <v>475.68219178082194</v>
      </c>
      <c r="W75" s="1052"/>
      <c r="X75" s="1052"/>
      <c r="Y75" s="1116">
        <f t="shared" si="20"/>
        <v>0</v>
      </c>
      <c r="Z75" s="1116">
        <f t="shared" si="24"/>
        <v>0</v>
      </c>
      <c r="AA75" s="1052">
        <f t="shared" si="25"/>
        <v>2109082</v>
      </c>
      <c r="AB75" s="1052">
        <f t="shared" si="17"/>
        <v>0</v>
      </c>
      <c r="AC75" s="1052">
        <f t="shared" si="22"/>
        <v>2109082</v>
      </c>
      <c r="AD75" s="1201">
        <v>0</v>
      </c>
      <c r="AE75" s="1201">
        <f t="shared" si="28"/>
        <v>0</v>
      </c>
      <c r="AF75" s="1250">
        <f t="shared" si="29"/>
        <v>2109082</v>
      </c>
      <c r="AG75" s="1129"/>
      <c r="AH75" s="1129"/>
      <c r="AI75" s="1129"/>
      <c r="AJ75" s="1129"/>
      <c r="AK75" s="1129"/>
      <c r="AL75" s="1129"/>
      <c r="AM75" s="1129"/>
      <c r="AN75" s="1129"/>
      <c r="AO75" s="1129"/>
      <c r="AP75" s="1129"/>
      <c r="AQ75" s="1129"/>
      <c r="AR75" s="1129"/>
      <c r="AS75" s="1129"/>
      <c r="AT75" s="1129"/>
      <c r="AU75" s="1129"/>
      <c r="AV75" s="1129"/>
      <c r="AW75" s="1129"/>
      <c r="AX75" s="1129"/>
      <c r="AY75" s="1129"/>
      <c r="AZ75" s="1129"/>
      <c r="BA75" s="1129"/>
      <c r="BB75" s="1129"/>
      <c r="BC75" s="1129"/>
      <c r="BD75" s="1129"/>
      <c r="BE75" s="1129"/>
      <c r="BF75" s="1129"/>
      <c r="BG75" s="1129"/>
    </row>
    <row r="76" spans="1:59" ht="74.25" customHeight="1">
      <c r="A76" s="1230">
        <v>75</v>
      </c>
      <c r="B76" s="1056" t="s">
        <v>3105</v>
      </c>
      <c r="C76" s="1056" t="s">
        <v>3106</v>
      </c>
      <c r="D76" s="1056">
        <v>2225000</v>
      </c>
      <c r="E76" s="1056">
        <f t="shared" si="26"/>
        <v>0</v>
      </c>
      <c r="F76" s="1056">
        <f t="shared" si="30"/>
        <v>2225000</v>
      </c>
      <c r="G76" s="1056">
        <v>2225000</v>
      </c>
      <c r="H76" s="1056"/>
      <c r="I76" s="1056">
        <v>0</v>
      </c>
      <c r="J76" s="1056">
        <f t="shared" si="21"/>
        <v>0</v>
      </c>
      <c r="K76" s="1056">
        <f>400000+500000+325000+500000+500000</f>
        <v>2225000</v>
      </c>
      <c r="L76" s="1056">
        <v>0</v>
      </c>
      <c r="M76" s="1126">
        <f t="shared" si="23"/>
        <v>2225000</v>
      </c>
      <c r="N76" s="1056"/>
      <c r="O76" s="1056"/>
      <c r="P76" s="1056"/>
      <c r="Q76" s="1056"/>
      <c r="R76" s="1127">
        <v>41392</v>
      </c>
      <c r="S76" s="1753">
        <f>R76+(365*3)+2</f>
        <v>42489</v>
      </c>
      <c r="T76" s="1753"/>
      <c r="U76" s="1056">
        <f>($X$1-S76)/365</f>
        <v>2.5123287671232877</v>
      </c>
      <c r="V76" s="1198">
        <f t="shared" si="27"/>
        <v>10.049315068493151</v>
      </c>
      <c r="W76" s="1056">
        <f>K76*U76*8/100</f>
        <v>447194.52054794523</v>
      </c>
      <c r="X76" s="1056">
        <f>K76*U76*18/100</f>
        <v>1006187.6712328768</v>
      </c>
      <c r="Y76" s="1128">
        <f t="shared" si="20"/>
        <v>447194.52054794523</v>
      </c>
      <c r="Z76" s="1128">
        <f t="shared" si="24"/>
        <v>0</v>
      </c>
      <c r="AA76" s="1056">
        <f t="shared" si="25"/>
        <v>2225000</v>
      </c>
      <c r="AB76" s="1056">
        <f t="shared" si="17"/>
        <v>0</v>
      </c>
      <c r="AC76" s="1056">
        <f t="shared" si="22"/>
        <v>2225000</v>
      </c>
      <c r="AD76" s="1203"/>
      <c r="AE76" s="1203">
        <f t="shared" si="28"/>
        <v>0</v>
      </c>
      <c r="AF76" s="1231">
        <f t="shared" si="29"/>
        <v>2225000</v>
      </c>
    </row>
    <row r="77" spans="1:59" s="1124" customFormat="1" ht="91.5" customHeight="1">
      <c r="A77" s="1228">
        <v>76</v>
      </c>
      <c r="B77" s="1053" t="s">
        <v>3107</v>
      </c>
      <c r="C77" s="1053" t="s">
        <v>3108</v>
      </c>
      <c r="D77" s="1053">
        <v>2100000</v>
      </c>
      <c r="E77" s="1053">
        <f t="shared" si="26"/>
        <v>3210507.2678879942</v>
      </c>
      <c r="F77" s="1053">
        <f t="shared" si="30"/>
        <v>5310507.2678879946</v>
      </c>
      <c r="G77" s="1053">
        <v>2100000</v>
      </c>
      <c r="H77" s="1053">
        <v>2100000</v>
      </c>
      <c r="I77" s="1053">
        <v>0</v>
      </c>
      <c r="J77" s="1053">
        <f t="shared" si="21"/>
        <v>2100000</v>
      </c>
      <c r="K77" s="1053">
        <f>100000+400000+500000+1000000+500000</f>
        <v>2500000</v>
      </c>
      <c r="L77" s="1053">
        <v>0</v>
      </c>
      <c r="M77" s="1118">
        <f t="shared" si="23"/>
        <v>2500000</v>
      </c>
      <c r="N77" s="1053"/>
      <c r="O77" s="1053"/>
      <c r="P77" s="1053"/>
      <c r="Q77" s="1053"/>
      <c r="R77" s="1120">
        <v>41429</v>
      </c>
      <c r="S77" s="1754">
        <f>R77+(365*3)+2</f>
        <v>42526</v>
      </c>
      <c r="T77" s="1754"/>
      <c r="U77" s="1053">
        <f>($X$1-S77)/365</f>
        <v>2.4109589041095889</v>
      </c>
      <c r="V77" s="1122">
        <f t="shared" si="27"/>
        <v>9.6438356164383556</v>
      </c>
      <c r="W77" s="1053">
        <f>K77*U77*8/100</f>
        <v>482191.78082191781</v>
      </c>
      <c r="X77" s="1053">
        <f>K77*U77*18/100</f>
        <v>1084931.506849315</v>
      </c>
      <c r="Y77" s="1123">
        <f t="shared" si="20"/>
        <v>405041.09589041094</v>
      </c>
      <c r="Z77" s="1123">
        <f t="shared" si="24"/>
        <v>405041.09589041094</v>
      </c>
      <c r="AA77" s="1053">
        <f t="shared" si="25"/>
        <v>2505041.0958904112</v>
      </c>
      <c r="AB77" s="1053">
        <f t="shared" si="17"/>
        <v>3210507.2678879942</v>
      </c>
      <c r="AC77" s="1053">
        <f t="shared" si="22"/>
        <v>5310507.2678879946</v>
      </c>
      <c r="AD77" s="1202">
        <v>2100000</v>
      </c>
      <c r="AE77" s="1202">
        <f t="shared" si="28"/>
        <v>5310507.2678879946</v>
      </c>
      <c r="AF77" s="1229">
        <f t="shared" si="29"/>
        <v>0</v>
      </c>
      <c r="AG77" s="1129"/>
      <c r="AH77" s="1129"/>
      <c r="AI77" s="1129"/>
      <c r="AJ77" s="1129"/>
      <c r="AK77" s="1129"/>
      <c r="AL77" s="1129"/>
      <c r="AM77" s="1129"/>
      <c r="AN77" s="1129"/>
      <c r="AO77" s="1129"/>
      <c r="AP77" s="1129"/>
      <c r="AQ77" s="1129"/>
      <c r="AR77" s="1129"/>
      <c r="AS77" s="1129"/>
      <c r="AT77" s="1129"/>
      <c r="AU77" s="1129"/>
      <c r="AV77" s="1129"/>
      <c r="AW77" s="1129"/>
      <c r="AX77" s="1129"/>
      <c r="AY77" s="1129"/>
      <c r="AZ77" s="1129"/>
      <c r="BA77" s="1129"/>
      <c r="BB77" s="1129"/>
      <c r="BC77" s="1129"/>
      <c r="BD77" s="1129"/>
      <c r="BE77" s="1129"/>
      <c r="BF77" s="1129"/>
      <c r="BG77" s="1129"/>
    </row>
    <row r="78" spans="1:59" s="1112" customFormat="1">
      <c r="A78" s="1225">
        <v>77</v>
      </c>
      <c r="B78" s="1050" t="s">
        <v>3109</v>
      </c>
      <c r="C78" s="1050" t="s">
        <v>3110</v>
      </c>
      <c r="D78" s="1050">
        <v>2173175</v>
      </c>
      <c r="E78" s="1050">
        <f t="shared" si="26"/>
        <v>2863734.2626314731</v>
      </c>
      <c r="F78" s="1050">
        <f t="shared" si="30"/>
        <v>5036909.2626314731</v>
      </c>
      <c r="G78" s="1050">
        <v>2173175</v>
      </c>
      <c r="H78" s="1050">
        <v>1873175</v>
      </c>
      <c r="I78" s="1050">
        <v>0</v>
      </c>
      <c r="J78" s="1050">
        <f t="shared" si="21"/>
        <v>1873175</v>
      </c>
      <c r="K78" s="1050">
        <f>373175+500000+500000+500000</f>
        <v>1873175</v>
      </c>
      <c r="L78" s="1050">
        <v>0</v>
      </c>
      <c r="M78" s="1107">
        <f t="shared" si="23"/>
        <v>1873175</v>
      </c>
      <c r="N78" s="1050" t="s">
        <v>227</v>
      </c>
      <c r="O78" s="1050"/>
      <c r="P78" s="1050"/>
      <c r="Q78" s="1050"/>
      <c r="R78" s="1108">
        <v>41429</v>
      </c>
      <c r="S78" s="1755">
        <f>R78+(365*3)+2</f>
        <v>42526</v>
      </c>
      <c r="T78" s="1755"/>
      <c r="U78" s="1050">
        <f>($X$1-S78)/365</f>
        <v>2.4109589041095889</v>
      </c>
      <c r="V78" s="1110">
        <f t="shared" si="27"/>
        <v>9.6438356164383556</v>
      </c>
      <c r="W78" s="1050">
        <f>K78*U78*8/100</f>
        <v>361291.8356164383</v>
      </c>
      <c r="X78" s="1050">
        <f>K78*U78*18/100</f>
        <v>812906.63013698626</v>
      </c>
      <c r="Y78" s="1111">
        <f t="shared" si="20"/>
        <v>419154.84931506845</v>
      </c>
      <c r="Z78" s="1111">
        <f t="shared" si="24"/>
        <v>361291.83561643836</v>
      </c>
      <c r="AA78" s="1050">
        <f t="shared" si="25"/>
        <v>2534466.8356164382</v>
      </c>
      <c r="AB78" s="1050">
        <f t="shared" si="17"/>
        <v>2863734.2626314731</v>
      </c>
      <c r="AC78" s="1050">
        <f t="shared" si="22"/>
        <v>5036909.2626314731</v>
      </c>
      <c r="AD78" s="1200">
        <v>1873175</v>
      </c>
      <c r="AE78" s="1200">
        <f t="shared" si="28"/>
        <v>4736909.2626314731</v>
      </c>
      <c r="AF78" s="1226">
        <f t="shared" si="29"/>
        <v>300000</v>
      </c>
      <c r="AG78" s="1129"/>
      <c r="AH78" s="1129"/>
      <c r="AI78" s="1129"/>
      <c r="AJ78" s="1129"/>
      <c r="AK78" s="1129"/>
      <c r="AL78" s="1129"/>
      <c r="AM78" s="1129"/>
      <c r="AN78" s="1129"/>
      <c r="AO78" s="1129"/>
      <c r="AP78" s="1129"/>
      <c r="AQ78" s="1129"/>
      <c r="AR78" s="1129"/>
      <c r="AS78" s="1129"/>
      <c r="AT78" s="1129"/>
      <c r="AU78" s="1129"/>
      <c r="AV78" s="1129"/>
      <c r="AW78" s="1129"/>
      <c r="AX78" s="1129"/>
      <c r="AY78" s="1129"/>
      <c r="AZ78" s="1129"/>
      <c r="BA78" s="1129"/>
      <c r="BB78" s="1129"/>
      <c r="BC78" s="1129"/>
      <c r="BD78" s="1129"/>
      <c r="BE78" s="1129"/>
      <c r="BF78" s="1129"/>
      <c r="BG78" s="1129"/>
    </row>
    <row r="79" spans="1:59" ht="45">
      <c r="A79" s="1230">
        <v>78</v>
      </c>
      <c r="B79" s="1056" t="s">
        <v>3111</v>
      </c>
      <c r="C79" s="1057" t="s">
        <v>3112</v>
      </c>
      <c r="D79" s="1056">
        <v>7000000</v>
      </c>
      <c r="E79" s="1056">
        <f t="shared" si="26"/>
        <v>0</v>
      </c>
      <c r="F79" s="1056">
        <f t="shared" si="30"/>
        <v>7000000</v>
      </c>
      <c r="G79" s="1056">
        <f t="shared" si="30"/>
        <v>7000000</v>
      </c>
      <c r="H79" s="1056"/>
      <c r="I79" s="1056"/>
      <c r="J79" s="1056">
        <f t="shared" si="21"/>
        <v>0</v>
      </c>
      <c r="K79" s="1056"/>
      <c r="L79" s="1056"/>
      <c r="M79" s="1126">
        <v>0</v>
      </c>
      <c r="N79" s="1056"/>
      <c r="O79" s="1056"/>
      <c r="P79" s="1056"/>
      <c r="Q79" s="1056"/>
      <c r="R79" s="1127">
        <v>43069</v>
      </c>
      <c r="S79" s="1753">
        <f>R79+(365*3)+2</f>
        <v>44166</v>
      </c>
      <c r="T79" s="1753"/>
      <c r="U79" s="1056">
        <f>($X$1-S79)/365</f>
        <v>-2.0821917808219177</v>
      </c>
      <c r="V79" s="1198">
        <f t="shared" si="27"/>
        <v>-8.3287671232876708</v>
      </c>
      <c r="W79" s="1056"/>
      <c r="X79" s="1056"/>
      <c r="Y79" s="1128">
        <f t="shared" si="20"/>
        <v>-1166027.3972602738</v>
      </c>
      <c r="Z79" s="1128">
        <f t="shared" si="24"/>
        <v>0</v>
      </c>
      <c r="AA79" s="1056">
        <f t="shared" si="25"/>
        <v>7000000</v>
      </c>
      <c r="AB79" s="1056">
        <f t="shared" si="17"/>
        <v>0</v>
      </c>
      <c r="AC79" s="1056">
        <f t="shared" si="22"/>
        <v>7000000</v>
      </c>
      <c r="AD79" s="1203"/>
      <c r="AE79" s="1203">
        <f t="shared" si="28"/>
        <v>0</v>
      </c>
      <c r="AF79" s="1231">
        <f t="shared" si="29"/>
        <v>7000000</v>
      </c>
    </row>
    <row r="80" spans="1:59">
      <c r="A80" s="1230">
        <v>79</v>
      </c>
      <c r="B80" s="1056" t="s">
        <v>3113</v>
      </c>
      <c r="C80" s="1056" t="s">
        <v>3114</v>
      </c>
      <c r="D80" s="1056">
        <v>33000000</v>
      </c>
      <c r="E80" s="1056">
        <f t="shared" si="26"/>
        <v>0</v>
      </c>
      <c r="F80" s="1056">
        <f t="shared" si="30"/>
        <v>33000000</v>
      </c>
      <c r="G80" s="1056">
        <f>F80</f>
        <v>33000000</v>
      </c>
      <c r="H80" s="1056"/>
      <c r="I80" s="1056"/>
      <c r="J80" s="1056">
        <f t="shared" si="21"/>
        <v>0</v>
      </c>
      <c r="K80" s="1056"/>
      <c r="L80" s="1056"/>
      <c r="M80" s="1126">
        <f t="shared" si="23"/>
        <v>0</v>
      </c>
      <c r="N80" s="1056"/>
      <c r="O80" s="1056"/>
      <c r="P80" s="1056"/>
      <c r="Q80" s="1056"/>
      <c r="R80" s="1056"/>
      <c r="S80" s="1753"/>
      <c r="T80" s="1753"/>
      <c r="U80" s="1056"/>
      <c r="V80" s="1198">
        <f t="shared" si="27"/>
        <v>475.68219178082194</v>
      </c>
      <c r="W80" s="1056"/>
      <c r="X80" s="1056"/>
      <c r="Y80" s="1128">
        <f t="shared" si="20"/>
        <v>0</v>
      </c>
      <c r="Z80" s="1128">
        <f t="shared" si="24"/>
        <v>0</v>
      </c>
      <c r="AA80" s="1056">
        <f t="shared" si="25"/>
        <v>33000000</v>
      </c>
      <c r="AB80" s="1056">
        <f t="shared" si="17"/>
        <v>0</v>
      </c>
      <c r="AC80" s="1056">
        <f t="shared" si="22"/>
        <v>33000000</v>
      </c>
      <c r="AD80" s="1203"/>
      <c r="AE80" s="1203">
        <f t="shared" si="28"/>
        <v>0</v>
      </c>
      <c r="AF80" s="1231">
        <f t="shared" si="29"/>
        <v>33000000</v>
      </c>
    </row>
    <row r="81" spans="1:156" s="1117" customFormat="1">
      <c r="A81" s="1227">
        <v>80</v>
      </c>
      <c r="B81" s="1052" t="s">
        <v>3115</v>
      </c>
      <c r="C81" s="1052" t="s">
        <v>3116</v>
      </c>
      <c r="D81" s="1052">
        <v>700000</v>
      </c>
      <c r="E81" s="1052">
        <f t="shared" si="26"/>
        <v>0</v>
      </c>
      <c r="F81" s="1052">
        <f t="shared" si="30"/>
        <v>700000</v>
      </c>
      <c r="G81" s="1052"/>
      <c r="H81" s="1052"/>
      <c r="I81" s="1052"/>
      <c r="J81" s="1052">
        <f t="shared" si="21"/>
        <v>0</v>
      </c>
      <c r="K81" s="1052">
        <f>100000+600000</f>
        <v>700000</v>
      </c>
      <c r="L81" s="1052">
        <v>700000</v>
      </c>
      <c r="M81" s="1052">
        <v>0</v>
      </c>
      <c r="N81" s="1052"/>
      <c r="O81" s="1052"/>
      <c r="P81" s="1052"/>
      <c r="Q81" s="1052"/>
      <c r="R81" s="1052"/>
      <c r="S81" s="1752"/>
      <c r="T81" s="1752"/>
      <c r="U81" s="1052"/>
      <c r="V81" s="1115">
        <f t="shared" si="27"/>
        <v>475.68219178082194</v>
      </c>
      <c r="W81" s="1052"/>
      <c r="X81" s="1052"/>
      <c r="Y81" s="1116">
        <f t="shared" si="20"/>
        <v>0</v>
      </c>
      <c r="Z81" s="1116">
        <f t="shared" si="24"/>
        <v>0</v>
      </c>
      <c r="AA81" s="1052">
        <f t="shared" si="25"/>
        <v>700000</v>
      </c>
      <c r="AB81" s="1052">
        <f t="shared" si="17"/>
        <v>0</v>
      </c>
      <c r="AC81" s="1052">
        <f t="shared" si="22"/>
        <v>700000</v>
      </c>
      <c r="AD81" s="1201">
        <v>0</v>
      </c>
      <c r="AE81" s="1201">
        <f t="shared" si="28"/>
        <v>0</v>
      </c>
      <c r="AF81" s="1250">
        <f t="shared" si="29"/>
        <v>700000</v>
      </c>
      <c r="AG81" s="1129"/>
      <c r="AH81" s="1129"/>
      <c r="AI81" s="1129"/>
      <c r="AJ81" s="1129"/>
      <c r="AK81" s="1129"/>
      <c r="AL81" s="1129"/>
      <c r="AM81" s="1129"/>
      <c r="AN81" s="1129"/>
      <c r="AO81" s="1129"/>
      <c r="AP81" s="1129"/>
      <c r="AQ81" s="1129"/>
      <c r="AR81" s="1129"/>
      <c r="AS81" s="1129"/>
      <c r="AT81" s="1129"/>
      <c r="AU81" s="1129"/>
      <c r="AV81" s="1129"/>
      <c r="AW81" s="1129"/>
      <c r="AX81" s="1129"/>
      <c r="AY81" s="1129"/>
      <c r="AZ81" s="1129"/>
      <c r="BA81" s="1129"/>
      <c r="BB81" s="1129"/>
      <c r="BC81" s="1129"/>
      <c r="BD81" s="1129"/>
      <c r="BE81" s="1129"/>
      <c r="BF81" s="1129"/>
      <c r="BG81" s="1129"/>
    </row>
    <row r="82" spans="1:156" ht="30">
      <c r="A82" s="1230">
        <v>81</v>
      </c>
      <c r="B82" s="1056" t="s">
        <v>3117</v>
      </c>
      <c r="C82" s="1057" t="s">
        <v>3118</v>
      </c>
      <c r="D82" s="1056">
        <v>2750000</v>
      </c>
      <c r="E82" s="1056">
        <f t="shared" si="26"/>
        <v>0</v>
      </c>
      <c r="F82" s="1056">
        <f t="shared" si="30"/>
        <v>2750000</v>
      </c>
      <c r="G82" s="1056">
        <f>D82</f>
        <v>2750000</v>
      </c>
      <c r="H82" s="1056"/>
      <c r="I82" s="1056"/>
      <c r="J82" s="1056">
        <f t="shared" si="21"/>
        <v>0</v>
      </c>
      <c r="K82" s="1056">
        <f>200000+100000+100000+300000+100000+100000+150000+300000+250000+650000+400000+100000</f>
        <v>2750000</v>
      </c>
      <c r="L82" s="1056">
        <f>2750000-400000</f>
        <v>2350000</v>
      </c>
      <c r="M82" s="1056">
        <v>400000</v>
      </c>
      <c r="N82" s="1056">
        <v>2750000</v>
      </c>
      <c r="O82" s="1056"/>
      <c r="P82" s="1056"/>
      <c r="Q82" s="1056"/>
      <c r="R82" s="1150">
        <v>41782</v>
      </c>
      <c r="S82" s="1753">
        <f>R82+(365*3)+2</f>
        <v>42879</v>
      </c>
      <c r="T82" s="1753"/>
      <c r="U82" s="1056">
        <f>($X$1-S82)/365</f>
        <v>1.4438356164383561</v>
      </c>
      <c r="V82" s="1198">
        <f t="shared" si="27"/>
        <v>5.7753424657534245</v>
      </c>
      <c r="W82" s="1056">
        <f>K82*U82*8/100</f>
        <v>317643.83561643836</v>
      </c>
      <c r="X82" s="1056">
        <f>K82*U82*18/100</f>
        <v>714698.63013698626</v>
      </c>
      <c r="Y82" s="1128">
        <f t="shared" si="20"/>
        <v>317643.83561643836</v>
      </c>
      <c r="Z82" s="1128">
        <f t="shared" si="24"/>
        <v>0</v>
      </c>
      <c r="AA82" s="1056">
        <f t="shared" si="25"/>
        <v>2750000</v>
      </c>
      <c r="AB82" s="1056">
        <f t="shared" si="17"/>
        <v>0</v>
      </c>
      <c r="AC82" s="1056">
        <f t="shared" si="22"/>
        <v>2750000</v>
      </c>
      <c r="AD82" s="1203"/>
      <c r="AE82" s="1203">
        <f t="shared" si="28"/>
        <v>0</v>
      </c>
      <c r="AF82" s="1231">
        <f t="shared" si="29"/>
        <v>2750000</v>
      </c>
    </row>
    <row r="83" spans="1:156" s="1053" customFormat="1" ht="171.75" customHeight="1">
      <c r="A83" s="1228">
        <v>82</v>
      </c>
      <c r="B83" s="1053" t="s">
        <v>3119</v>
      </c>
      <c r="C83" s="1054" t="s">
        <v>2976</v>
      </c>
      <c r="D83" s="1053">
        <v>17679328</v>
      </c>
      <c r="E83" s="1053">
        <f t="shared" si="26"/>
        <v>5578535</v>
      </c>
      <c r="F83" s="1053">
        <f>D83+E83</f>
        <v>23257863</v>
      </c>
      <c r="G83" s="1053">
        <f>D83</f>
        <v>17679328</v>
      </c>
      <c r="H83" s="1053">
        <v>17679328</v>
      </c>
      <c r="J83" s="1053">
        <f t="shared" si="21"/>
        <v>17679328</v>
      </c>
      <c r="K83" s="1053">
        <f>600000+500000+500000+500000+1200000+500000+500000+500000+500000+200000+400000+300000+500000</f>
        <v>6700000</v>
      </c>
      <c r="L83" s="1053">
        <f>100000+100000</f>
        <v>200000</v>
      </c>
      <c r="P83" s="1053">
        <v>17679328</v>
      </c>
      <c r="R83" s="1151"/>
      <c r="S83" s="1754">
        <f>R83+(365*3)+2</f>
        <v>1097</v>
      </c>
      <c r="T83" s="1754"/>
      <c r="U83" s="1053">
        <f t="shared" ref="U83:U92" si="31">($X$1-S83)/365</f>
        <v>115.91506849315068</v>
      </c>
      <c r="V83" s="1122">
        <f t="shared" si="27"/>
        <v>463.66027397260274</v>
      </c>
      <c r="W83" s="1053">
        <f>K83*U83*8/100</f>
        <v>62130476.712328769</v>
      </c>
      <c r="Y83" s="1123">
        <f t="shared" si="20"/>
        <v>163944041.28263015</v>
      </c>
      <c r="Z83" s="1123">
        <f t="shared" si="24"/>
        <v>163944041.28263015</v>
      </c>
      <c r="AA83" s="1053">
        <f t="shared" si="25"/>
        <v>181623369.28263015</v>
      </c>
      <c r="AB83" s="1053">
        <f>4716494+862041</f>
        <v>5578535</v>
      </c>
      <c r="AC83" s="1053">
        <f t="shared" si="22"/>
        <v>23257863</v>
      </c>
      <c r="AD83" s="1202">
        <v>17679328</v>
      </c>
      <c r="AE83" s="1202">
        <f t="shared" si="28"/>
        <v>23257863</v>
      </c>
      <c r="AF83" s="1229">
        <f t="shared" si="29"/>
        <v>0</v>
      </c>
      <c r="AG83" s="1129"/>
      <c r="AH83" s="1129"/>
      <c r="AI83" s="1129"/>
      <c r="AJ83" s="1129"/>
      <c r="AK83" s="1129"/>
      <c r="AL83" s="1129"/>
      <c r="AM83" s="1129"/>
      <c r="AN83" s="1129"/>
      <c r="AO83" s="1129"/>
      <c r="AP83" s="1129"/>
      <c r="AQ83" s="1129"/>
      <c r="AR83" s="1129"/>
      <c r="AS83" s="1129"/>
      <c r="AT83" s="1129"/>
      <c r="AU83" s="1129"/>
      <c r="AV83" s="1129"/>
      <c r="AW83" s="1129"/>
      <c r="AX83" s="1129"/>
      <c r="AY83" s="1129"/>
      <c r="AZ83" s="1129"/>
      <c r="BA83" s="1129"/>
      <c r="BB83" s="1129"/>
      <c r="BC83" s="1129"/>
      <c r="BD83" s="1129"/>
      <c r="BE83" s="1129"/>
      <c r="BF83" s="1129"/>
      <c r="BG83" s="1129"/>
      <c r="BH83" s="1124"/>
      <c r="BI83" s="1124"/>
      <c r="BJ83" s="1124"/>
      <c r="BK83" s="1124"/>
      <c r="BL83" s="1124"/>
      <c r="BM83" s="1124"/>
      <c r="BN83" s="1124"/>
      <c r="BO83" s="1124"/>
      <c r="BP83" s="1124"/>
      <c r="BQ83" s="1124"/>
      <c r="BR83" s="1124"/>
      <c r="BS83" s="1124"/>
      <c r="BT83" s="1124"/>
      <c r="BU83" s="1124"/>
      <c r="BV83" s="1124"/>
      <c r="BW83" s="1124"/>
      <c r="BX83" s="1124"/>
      <c r="BY83" s="1124"/>
      <c r="BZ83" s="1124"/>
      <c r="CA83" s="1124"/>
      <c r="CB83" s="1124"/>
      <c r="CC83" s="1124"/>
      <c r="CD83" s="1124"/>
      <c r="CE83" s="1124"/>
      <c r="CF83" s="1124"/>
      <c r="CG83" s="1124"/>
      <c r="CH83" s="1124"/>
      <c r="CI83" s="1124"/>
      <c r="CJ83" s="1124"/>
      <c r="CK83" s="1124"/>
      <c r="CL83" s="1124"/>
      <c r="CM83" s="1124"/>
      <c r="CN83" s="1124"/>
      <c r="CO83" s="1124"/>
      <c r="CP83" s="1124"/>
      <c r="CQ83" s="1124"/>
      <c r="CR83" s="1124"/>
      <c r="CS83" s="1124"/>
      <c r="CT83" s="1124"/>
      <c r="CU83" s="1124"/>
      <c r="CV83" s="1124"/>
      <c r="CW83" s="1124"/>
      <c r="CX83" s="1124"/>
      <c r="CY83" s="1124"/>
      <c r="CZ83" s="1124"/>
      <c r="DA83" s="1124"/>
      <c r="DB83" s="1124"/>
      <c r="DC83" s="1124"/>
      <c r="DD83" s="1124"/>
      <c r="DE83" s="1124"/>
      <c r="DF83" s="1124"/>
      <c r="DG83" s="1124"/>
      <c r="DH83" s="1124"/>
      <c r="DI83" s="1124"/>
      <c r="DJ83" s="1124"/>
      <c r="DK83" s="1124"/>
      <c r="DL83" s="1124"/>
      <c r="DM83" s="1124"/>
      <c r="DN83" s="1124"/>
      <c r="DO83" s="1124"/>
      <c r="DP83" s="1124"/>
      <c r="DQ83" s="1124"/>
      <c r="DR83" s="1124"/>
      <c r="DS83" s="1124"/>
      <c r="DT83" s="1124"/>
      <c r="DU83" s="1124"/>
      <c r="DV83" s="1124"/>
      <c r="DW83" s="1124"/>
      <c r="DX83" s="1124"/>
      <c r="DY83" s="1124"/>
      <c r="DZ83" s="1124"/>
      <c r="EA83" s="1124"/>
      <c r="EB83" s="1124"/>
      <c r="EC83" s="1124"/>
      <c r="ED83" s="1124"/>
      <c r="EE83" s="1124"/>
      <c r="EF83" s="1124"/>
      <c r="EG83" s="1124"/>
      <c r="EH83" s="1124"/>
      <c r="EI83" s="1124"/>
      <c r="EJ83" s="1124"/>
      <c r="EK83" s="1124"/>
      <c r="EL83" s="1124"/>
      <c r="EM83" s="1124"/>
      <c r="EN83" s="1124"/>
      <c r="EO83" s="1124"/>
      <c r="EP83" s="1124"/>
      <c r="EQ83" s="1124"/>
      <c r="ER83" s="1124"/>
      <c r="ES83" s="1124"/>
      <c r="ET83" s="1124"/>
      <c r="EU83" s="1124"/>
      <c r="EV83" s="1124"/>
      <c r="EW83" s="1124"/>
      <c r="EX83" s="1124"/>
      <c r="EY83" s="1124"/>
      <c r="EZ83" s="1124"/>
    </row>
    <row r="84" spans="1:156" s="1117" customFormat="1" ht="30">
      <c r="A84" s="1227">
        <v>83</v>
      </c>
      <c r="B84" s="1052" t="s">
        <v>3120</v>
      </c>
      <c r="C84" s="1055" t="s">
        <v>3121</v>
      </c>
      <c r="D84" s="1052">
        <v>928138</v>
      </c>
      <c r="E84" s="1052">
        <f t="shared" si="26"/>
        <v>0</v>
      </c>
      <c r="F84" s="1052">
        <f>D84</f>
        <v>928138</v>
      </c>
      <c r="G84" s="1052">
        <f>D84</f>
        <v>928138</v>
      </c>
      <c r="H84" s="1052"/>
      <c r="I84" s="1052"/>
      <c r="J84" s="1052">
        <f t="shared" si="21"/>
        <v>0</v>
      </c>
      <c r="K84" s="1052"/>
      <c r="L84" s="1052"/>
      <c r="M84" s="1052">
        <f>817342+110796</f>
        <v>928138</v>
      </c>
      <c r="N84" s="1052"/>
      <c r="O84" s="1052"/>
      <c r="P84" s="1052"/>
      <c r="Q84" s="1052"/>
      <c r="R84" s="1152"/>
      <c r="S84" s="1752">
        <f>R84+(365*3)+2</f>
        <v>1097</v>
      </c>
      <c r="T84" s="1752"/>
      <c r="U84" s="1052">
        <f t="shared" si="31"/>
        <v>115.91506849315068</v>
      </c>
      <c r="V84" s="1115">
        <f t="shared" si="27"/>
        <v>463.66027397260274</v>
      </c>
      <c r="W84" s="1052">
        <f>K84*U84*8/100</f>
        <v>0</v>
      </c>
      <c r="X84" s="1052"/>
      <c r="Y84" s="1116">
        <f t="shared" si="20"/>
        <v>8606814.3872876707</v>
      </c>
      <c r="Z84" s="1116">
        <f t="shared" si="24"/>
        <v>0</v>
      </c>
      <c r="AA84" s="1052">
        <f t="shared" si="25"/>
        <v>928138</v>
      </c>
      <c r="AB84" s="1052">
        <f t="shared" ref="AB84:AB92" si="32">+H84*(1+18%/4)^V84</f>
        <v>0</v>
      </c>
      <c r="AC84" s="1052">
        <f t="shared" si="22"/>
        <v>928138</v>
      </c>
      <c r="AD84" s="1201">
        <v>0</v>
      </c>
      <c r="AE84" s="1201">
        <f t="shared" si="28"/>
        <v>0</v>
      </c>
      <c r="AF84" s="1250">
        <f t="shared" si="29"/>
        <v>928138</v>
      </c>
      <c r="AG84" s="1129"/>
      <c r="AH84" s="1129"/>
      <c r="AI84" s="1129"/>
      <c r="AJ84" s="1129"/>
      <c r="AK84" s="1129"/>
      <c r="AL84" s="1129"/>
      <c r="AM84" s="1129"/>
      <c r="AN84" s="1129"/>
      <c r="AO84" s="1129"/>
      <c r="AP84" s="1129"/>
      <c r="AQ84" s="1129"/>
      <c r="AR84" s="1129"/>
      <c r="AS84" s="1129"/>
      <c r="AT84" s="1129"/>
      <c r="AU84" s="1129"/>
      <c r="AV84" s="1129"/>
      <c r="AW84" s="1129"/>
      <c r="AX84" s="1129"/>
      <c r="AY84" s="1129"/>
      <c r="AZ84" s="1129"/>
      <c r="BA84" s="1129"/>
      <c r="BB84" s="1129"/>
      <c r="BC84" s="1129"/>
      <c r="BD84" s="1129"/>
      <c r="BE84" s="1129"/>
      <c r="BF84" s="1129"/>
      <c r="BG84" s="1129"/>
    </row>
    <row r="85" spans="1:156" ht="30">
      <c r="A85" s="1230">
        <v>84</v>
      </c>
      <c r="B85" s="1056" t="s">
        <v>3122</v>
      </c>
      <c r="C85" s="1057" t="s">
        <v>3123</v>
      </c>
      <c r="D85" s="1056">
        <v>1150000</v>
      </c>
      <c r="E85" s="1056">
        <f t="shared" si="26"/>
        <v>0</v>
      </c>
      <c r="F85" s="1056">
        <f>D85</f>
        <v>1150000</v>
      </c>
      <c r="G85" s="1056">
        <f>D85</f>
        <v>1150000</v>
      </c>
      <c r="H85" s="1056"/>
      <c r="I85" s="1056"/>
      <c r="J85" s="1056">
        <f t="shared" si="21"/>
        <v>0</v>
      </c>
      <c r="K85" s="1056">
        <f>950000+950000+1000000+50000</f>
        <v>2950000</v>
      </c>
      <c r="L85" s="1056">
        <f>1000000+50000+950000</f>
        <v>2000000</v>
      </c>
      <c r="M85" s="1056">
        <f>+K85-L85</f>
        <v>950000</v>
      </c>
      <c r="N85" s="1056">
        <f>K85</f>
        <v>2950000</v>
      </c>
      <c r="O85" s="1056"/>
      <c r="P85" s="1056"/>
      <c r="Q85" s="1056"/>
      <c r="R85" s="1150"/>
      <c r="S85" s="1753">
        <f>R85+(365*3)+2</f>
        <v>1097</v>
      </c>
      <c r="T85" s="1753"/>
      <c r="U85" s="1056">
        <f t="shared" si="31"/>
        <v>115.91506849315068</v>
      </c>
      <c r="V85" s="1198">
        <f t="shared" si="27"/>
        <v>463.66027397260274</v>
      </c>
      <c r="W85" s="1056">
        <f>K85*U85*8/100</f>
        <v>27355956.16438356</v>
      </c>
      <c r="X85" s="1056"/>
      <c r="Y85" s="1128">
        <f t="shared" si="20"/>
        <v>10664186.301369863</v>
      </c>
      <c r="Z85" s="1128">
        <f t="shared" si="24"/>
        <v>0</v>
      </c>
      <c r="AA85" s="1056">
        <f t="shared" si="25"/>
        <v>1150000</v>
      </c>
      <c r="AB85" s="1056">
        <f t="shared" si="32"/>
        <v>0</v>
      </c>
      <c r="AC85" s="1056">
        <f t="shared" si="22"/>
        <v>1150000</v>
      </c>
      <c r="AD85" s="1203"/>
      <c r="AE85" s="1203">
        <f t="shared" si="28"/>
        <v>0</v>
      </c>
      <c r="AF85" s="1231">
        <f t="shared" si="29"/>
        <v>1150000</v>
      </c>
    </row>
    <row r="86" spans="1:156">
      <c r="A86" s="1230">
        <v>85</v>
      </c>
      <c r="B86" s="1056" t="s">
        <v>3124</v>
      </c>
      <c r="C86" s="1057" t="s">
        <v>3125</v>
      </c>
      <c r="D86" s="1056">
        <v>6600000</v>
      </c>
      <c r="E86" s="1056">
        <f t="shared" si="26"/>
        <v>0</v>
      </c>
      <c r="F86" s="1056">
        <f>D86+E86</f>
        <v>6600000</v>
      </c>
      <c r="G86" s="1056"/>
      <c r="H86" s="1056"/>
      <c r="I86" s="1056"/>
      <c r="J86" s="1056"/>
      <c r="K86" s="1056">
        <v>450000</v>
      </c>
      <c r="L86" s="1056">
        <v>400000</v>
      </c>
      <c r="M86" s="1056">
        <v>50000</v>
      </c>
      <c r="N86" s="1056"/>
      <c r="O86" s="1056"/>
      <c r="P86" s="1056"/>
      <c r="Q86" s="1056"/>
      <c r="R86" s="1150"/>
      <c r="S86" s="1753">
        <f>R86+(365*3)+2</f>
        <v>1097</v>
      </c>
      <c r="T86" s="1753"/>
      <c r="U86" s="1056">
        <f t="shared" si="31"/>
        <v>115.91506849315068</v>
      </c>
      <c r="V86" s="1198">
        <f t="shared" si="27"/>
        <v>463.66027397260274</v>
      </c>
      <c r="W86" s="1056">
        <f>K86*U86*8/100</f>
        <v>4172942.4657534249</v>
      </c>
      <c r="X86" s="1056"/>
      <c r="Y86" s="1128">
        <f t="shared" si="20"/>
        <v>61203156.16438356</v>
      </c>
      <c r="Z86" s="1128">
        <f t="shared" si="24"/>
        <v>0</v>
      </c>
      <c r="AA86" s="1056">
        <f t="shared" si="25"/>
        <v>6600000</v>
      </c>
      <c r="AB86" s="1056">
        <f t="shared" si="32"/>
        <v>0</v>
      </c>
      <c r="AC86" s="1056">
        <f t="shared" si="22"/>
        <v>6600000</v>
      </c>
      <c r="AD86" s="1203"/>
      <c r="AE86" s="1203">
        <f t="shared" si="28"/>
        <v>0</v>
      </c>
      <c r="AF86" s="1231">
        <f t="shared" si="29"/>
        <v>6600000</v>
      </c>
    </row>
    <row r="87" spans="1:156" ht="30">
      <c r="A87" s="1230">
        <v>86</v>
      </c>
      <c r="B87" s="1056" t="s">
        <v>3126</v>
      </c>
      <c r="C87" s="1057" t="s">
        <v>3127</v>
      </c>
      <c r="D87" s="1056">
        <v>7500000</v>
      </c>
      <c r="E87" s="1056">
        <f t="shared" si="26"/>
        <v>0</v>
      </c>
      <c r="F87" s="1056">
        <f>+D87+E87</f>
        <v>7500000</v>
      </c>
      <c r="G87" s="1056"/>
      <c r="H87" s="1056"/>
      <c r="I87" s="1056"/>
      <c r="J87" s="1056"/>
      <c r="K87" s="1056">
        <v>7500000</v>
      </c>
      <c r="L87" s="1056">
        <v>7500000</v>
      </c>
      <c r="M87" s="1056"/>
      <c r="N87" s="1056"/>
      <c r="O87" s="1056"/>
      <c r="P87" s="1056"/>
      <c r="Q87" s="1056"/>
      <c r="R87" s="1150">
        <v>41807</v>
      </c>
      <c r="S87" s="1753">
        <v>42903</v>
      </c>
      <c r="T87" s="1753"/>
      <c r="U87" s="1056">
        <f t="shared" si="31"/>
        <v>1.3780821917808219</v>
      </c>
      <c r="V87" s="1198">
        <f t="shared" si="27"/>
        <v>5.5123287671232877</v>
      </c>
      <c r="W87" s="1056"/>
      <c r="X87" s="1056"/>
      <c r="Y87" s="1128">
        <f t="shared" si="20"/>
        <v>826849.31506849313</v>
      </c>
      <c r="Z87" s="1128">
        <f t="shared" si="24"/>
        <v>0</v>
      </c>
      <c r="AA87" s="1056">
        <f t="shared" si="25"/>
        <v>7500000</v>
      </c>
      <c r="AB87" s="1056">
        <f t="shared" si="32"/>
        <v>0</v>
      </c>
      <c r="AC87" s="1056">
        <f t="shared" si="22"/>
        <v>7500000</v>
      </c>
      <c r="AD87" s="1203"/>
      <c r="AE87" s="1203">
        <f t="shared" si="28"/>
        <v>0</v>
      </c>
      <c r="AF87" s="1231">
        <f t="shared" si="29"/>
        <v>7500000</v>
      </c>
    </row>
    <row r="88" spans="1:156">
      <c r="A88" s="1230">
        <v>87</v>
      </c>
      <c r="B88" s="1056" t="s">
        <v>3128</v>
      </c>
      <c r="C88" s="1057" t="s">
        <v>3129</v>
      </c>
      <c r="D88" s="1056">
        <v>7500000</v>
      </c>
      <c r="E88" s="1056">
        <f t="shared" si="26"/>
        <v>0</v>
      </c>
      <c r="F88" s="1056">
        <f>+D88+E88</f>
        <v>7500000</v>
      </c>
      <c r="G88" s="1056"/>
      <c r="H88" s="1056"/>
      <c r="I88" s="1056"/>
      <c r="J88" s="1056"/>
      <c r="K88" s="1056">
        <v>7500000</v>
      </c>
      <c r="L88" s="1056">
        <v>7500000</v>
      </c>
      <c r="M88" s="1056"/>
      <c r="N88" s="1056"/>
      <c r="O88" s="1056"/>
      <c r="P88" s="1056"/>
      <c r="Q88" s="1056"/>
      <c r="R88" s="1150">
        <v>41807</v>
      </c>
      <c r="S88" s="1753">
        <v>42903</v>
      </c>
      <c r="T88" s="1753"/>
      <c r="U88" s="1056">
        <f t="shared" si="31"/>
        <v>1.3780821917808219</v>
      </c>
      <c r="V88" s="1198">
        <f t="shared" si="27"/>
        <v>5.5123287671232877</v>
      </c>
      <c r="W88" s="1056"/>
      <c r="X88" s="1056"/>
      <c r="Y88" s="1128">
        <f t="shared" si="20"/>
        <v>826849.31506849313</v>
      </c>
      <c r="Z88" s="1128">
        <f t="shared" si="24"/>
        <v>0</v>
      </c>
      <c r="AA88" s="1056">
        <f t="shared" si="25"/>
        <v>7500000</v>
      </c>
      <c r="AB88" s="1056">
        <f t="shared" si="32"/>
        <v>0</v>
      </c>
      <c r="AC88" s="1056">
        <f t="shared" si="22"/>
        <v>7500000</v>
      </c>
      <c r="AD88" s="1203"/>
      <c r="AE88" s="1203">
        <f t="shared" si="28"/>
        <v>0</v>
      </c>
      <c r="AF88" s="1231">
        <f t="shared" si="29"/>
        <v>7500000</v>
      </c>
    </row>
    <row r="89" spans="1:156" ht="30">
      <c r="A89" s="1230">
        <v>88</v>
      </c>
      <c r="B89" s="1056" t="s">
        <v>3130</v>
      </c>
      <c r="C89" s="1057" t="s">
        <v>3131</v>
      </c>
      <c r="D89" s="1056">
        <v>7000000</v>
      </c>
      <c r="E89" s="1056">
        <f t="shared" si="26"/>
        <v>0</v>
      </c>
      <c r="F89" s="1056">
        <f>+D89+E89</f>
        <v>7000000</v>
      </c>
      <c r="G89" s="1056"/>
      <c r="H89" s="1056"/>
      <c r="I89" s="1056"/>
      <c r="J89" s="1056"/>
      <c r="K89" s="1056">
        <v>7000000</v>
      </c>
      <c r="L89" s="1056">
        <v>7000000</v>
      </c>
      <c r="M89" s="1056"/>
      <c r="N89" s="1056"/>
      <c r="O89" s="1056"/>
      <c r="P89" s="1056"/>
      <c r="Q89" s="1056"/>
      <c r="R89" s="1150">
        <v>41807</v>
      </c>
      <c r="S89" s="1753">
        <v>42903</v>
      </c>
      <c r="T89" s="1753"/>
      <c r="U89" s="1056">
        <f t="shared" si="31"/>
        <v>1.3780821917808219</v>
      </c>
      <c r="V89" s="1198">
        <f t="shared" si="27"/>
        <v>5.5123287671232877</v>
      </c>
      <c r="W89" s="1056"/>
      <c r="X89" s="1056"/>
      <c r="Y89" s="1128">
        <f t="shared" si="20"/>
        <v>771726.0273972603</v>
      </c>
      <c r="Z89" s="1128">
        <f t="shared" si="24"/>
        <v>0</v>
      </c>
      <c r="AA89" s="1056">
        <f t="shared" si="25"/>
        <v>7000000</v>
      </c>
      <c r="AB89" s="1056">
        <f t="shared" si="32"/>
        <v>0</v>
      </c>
      <c r="AC89" s="1056">
        <f t="shared" si="22"/>
        <v>7000000</v>
      </c>
      <c r="AD89" s="1203"/>
      <c r="AE89" s="1203">
        <f t="shared" si="28"/>
        <v>0</v>
      </c>
      <c r="AF89" s="1231">
        <f t="shared" si="29"/>
        <v>7000000</v>
      </c>
    </row>
    <row r="90" spans="1:156" s="1124" customFormat="1" ht="30">
      <c r="A90" s="1228">
        <v>89</v>
      </c>
      <c r="B90" s="1187" t="s">
        <v>3132</v>
      </c>
      <c r="C90" s="1188" t="s">
        <v>3133</v>
      </c>
      <c r="D90" s="1187">
        <v>2200000</v>
      </c>
      <c r="E90" s="1053"/>
      <c r="F90" s="1187">
        <v>2200000</v>
      </c>
      <c r="G90" s="1187"/>
      <c r="H90" s="1053">
        <v>2200000</v>
      </c>
      <c r="I90" s="1053"/>
      <c r="J90" s="1053">
        <v>2200000</v>
      </c>
      <c r="K90" s="1053">
        <v>2200000</v>
      </c>
      <c r="L90" s="1053"/>
      <c r="M90" s="1053">
        <v>2200000</v>
      </c>
      <c r="N90" s="1053"/>
      <c r="O90" s="1053"/>
      <c r="P90" s="1053"/>
      <c r="Q90" s="1053"/>
      <c r="R90" s="1151">
        <v>41765</v>
      </c>
      <c r="S90" s="1754">
        <v>42861</v>
      </c>
      <c r="T90" s="1754"/>
      <c r="U90" s="1053">
        <f t="shared" si="31"/>
        <v>1.4931506849315068</v>
      </c>
      <c r="V90" s="1122">
        <f t="shared" si="27"/>
        <v>5.9726027397260273</v>
      </c>
      <c r="W90" s="1053"/>
      <c r="X90" s="1123"/>
      <c r="Y90" s="1123"/>
      <c r="Z90" s="1053"/>
      <c r="AA90" s="1053">
        <f t="shared" si="25"/>
        <v>2200000</v>
      </c>
      <c r="AB90" s="1053">
        <f t="shared" si="32"/>
        <v>2861519.3665020457</v>
      </c>
      <c r="AC90" s="1053">
        <f t="shared" si="22"/>
        <v>5061519.3665020457</v>
      </c>
      <c r="AD90" s="1202">
        <v>2200000</v>
      </c>
      <c r="AE90" s="1202">
        <f t="shared" si="28"/>
        <v>5061519.3665020457</v>
      </c>
      <c r="AF90" s="1229">
        <f t="shared" si="29"/>
        <v>0</v>
      </c>
      <c r="AG90" s="1129"/>
      <c r="AH90" s="1214"/>
      <c r="AI90" s="1129"/>
      <c r="AJ90" s="1129"/>
      <c r="AK90" s="1129"/>
      <c r="AL90" s="1129"/>
      <c r="AM90" s="1129"/>
      <c r="AN90" s="1129"/>
      <c r="AO90" s="1129"/>
      <c r="AP90" s="1129"/>
      <c r="AQ90" s="1129"/>
      <c r="AR90" s="1214"/>
      <c r="AS90" s="1213"/>
      <c r="AT90" s="1214"/>
      <c r="AU90" s="1129"/>
      <c r="AV90" s="1214"/>
      <c r="AW90" s="1162"/>
      <c r="AX90" s="1214"/>
      <c r="AY90" s="1129"/>
      <c r="AZ90" s="1129"/>
      <c r="BA90" s="1129"/>
      <c r="BB90" s="1129"/>
      <c r="BC90" s="1129"/>
      <c r="BD90" s="1129"/>
      <c r="BE90" s="1129"/>
      <c r="BF90" s="1129"/>
      <c r="BG90" s="1129"/>
      <c r="BH90" s="1189"/>
      <c r="BI90" s="1151"/>
      <c r="BJ90" s="1121"/>
      <c r="BK90" s="1121"/>
      <c r="BL90" s="1053"/>
      <c r="BM90" s="1122">
        <f>($X$1-BJ90)/365*4</f>
        <v>475.68219178082194</v>
      </c>
      <c r="BN90" s="1053"/>
      <c r="BO90" s="1053"/>
      <c r="BP90" s="1123">
        <f>$AI90*8/100*$BL90</f>
        <v>0</v>
      </c>
      <c r="BQ90" s="1123">
        <f>$AM90*8/100*$BL90</f>
        <v>0</v>
      </c>
      <c r="BR90" s="1053">
        <f>+AI90+BQ90</f>
        <v>0</v>
      </c>
      <c r="BV90" s="1124">
        <f>+AI90+BS90+BT90+BU90</f>
        <v>0</v>
      </c>
    </row>
    <row r="91" spans="1:156" s="1124" customFormat="1" ht="30">
      <c r="A91" s="1228">
        <v>90</v>
      </c>
      <c r="B91" s="1187" t="s">
        <v>3134</v>
      </c>
      <c r="C91" s="1188" t="s">
        <v>3135</v>
      </c>
      <c r="D91" s="1187">
        <v>1664399</v>
      </c>
      <c r="E91" s="1053"/>
      <c r="F91" s="1187">
        <v>1664399</v>
      </c>
      <c r="G91" s="1053"/>
      <c r="H91" s="1187">
        <v>1664399</v>
      </c>
      <c r="I91" s="1053"/>
      <c r="J91" s="1187">
        <v>1664399</v>
      </c>
      <c r="K91" s="1187">
        <f>407185+407185+300000+550029</f>
        <v>1664399</v>
      </c>
      <c r="L91" s="1053"/>
      <c r="M91" s="1187">
        <f>407185+407185+300000+550029</f>
        <v>1664399</v>
      </c>
      <c r="N91" s="1053"/>
      <c r="O91" s="1053"/>
      <c r="P91" s="1053"/>
      <c r="Q91" s="1053"/>
      <c r="R91" s="1151">
        <v>41534</v>
      </c>
      <c r="S91" s="1754">
        <v>42630</v>
      </c>
      <c r="T91" s="1754"/>
      <c r="U91" s="1053">
        <f t="shared" si="31"/>
        <v>2.1260273972602741</v>
      </c>
      <c r="V91" s="1122">
        <f t="shared" si="27"/>
        <v>8.5041095890410965</v>
      </c>
      <c r="W91" s="1053"/>
      <c r="X91" s="1123">
        <f>$D91*8/100*$U91</f>
        <v>283084.62991780828</v>
      </c>
      <c r="Y91" s="1123">
        <f>$H91*8/100*$U91</f>
        <v>283084.62991780828</v>
      </c>
      <c r="Z91" s="1053">
        <f>+D91+Y91</f>
        <v>1947483.6299178083</v>
      </c>
      <c r="AA91" s="1053">
        <f t="shared" si="25"/>
        <v>3611882.6299178083</v>
      </c>
      <c r="AB91" s="1053">
        <f t="shared" si="32"/>
        <v>2420050.7588060452</v>
      </c>
      <c r="AC91" s="1053">
        <f t="shared" si="22"/>
        <v>4084449.7588060452</v>
      </c>
      <c r="AD91" s="1202">
        <v>1664399</v>
      </c>
      <c r="AE91" s="1202">
        <f t="shared" si="28"/>
        <v>4084449.7588060452</v>
      </c>
      <c r="AF91" s="1229">
        <f t="shared" si="29"/>
        <v>0</v>
      </c>
      <c r="AG91" s="1170"/>
      <c r="AH91" s="1170"/>
      <c r="AI91" s="1170"/>
      <c r="AJ91" s="1170"/>
      <c r="AK91" s="1170"/>
      <c r="AL91" s="1170"/>
      <c r="AM91" s="1170"/>
      <c r="AN91" s="1170"/>
      <c r="AO91" s="1170"/>
      <c r="AP91" s="1170"/>
      <c r="AQ91" s="1170"/>
      <c r="AR91" s="1170"/>
      <c r="AS91" s="1171"/>
      <c r="AT91" s="1129"/>
      <c r="AU91" s="1129"/>
      <c r="AV91" s="1129"/>
      <c r="AW91" s="1162"/>
      <c r="AX91" s="1129"/>
      <c r="AY91" s="1129">
        <f>+SUM(K2:K86)</f>
        <v>175928247</v>
      </c>
      <c r="AZ91" s="1129">
        <f>+SUM(L2:L86)</f>
        <v>60352537</v>
      </c>
      <c r="BA91" s="1129" t="e">
        <f>+SUM(M2:M86)</f>
        <v>#VALUE!</v>
      </c>
      <c r="BB91" s="1129"/>
      <c r="BC91" s="1129"/>
      <c r="BD91" s="1129"/>
      <c r="BE91" s="1129"/>
      <c r="BF91" s="1129"/>
      <c r="BG91" s="1129"/>
      <c r="BH91" s="1212"/>
      <c r="BI91" s="1194"/>
      <c r="BJ91" s="1196"/>
      <c r="BK91" s="1196"/>
      <c r="BL91" s="1194"/>
      <c r="BM91" s="1197">
        <f>($X$1-BJ91)/365*4</f>
        <v>475.68219178082194</v>
      </c>
      <c r="BN91" s="1194"/>
      <c r="BO91" s="1194"/>
      <c r="BP91" s="1194"/>
      <c r="BQ91" s="1194" t="e">
        <f>+SUM(Z2:Z90)</f>
        <v>#REF!</v>
      </c>
      <c r="BR91" s="1194" t="e">
        <f>+SUM(AA2:AA90)</f>
        <v>#REF!</v>
      </c>
    </row>
    <row r="92" spans="1:156" s="1246" customFormat="1" ht="30.75" thickBot="1">
      <c r="A92" s="1235">
        <v>91</v>
      </c>
      <c r="B92" s="1236" t="s">
        <v>3136</v>
      </c>
      <c r="C92" s="1237" t="s">
        <v>3137</v>
      </c>
      <c r="D92" s="1236">
        <v>1860000</v>
      </c>
      <c r="E92" s="1236"/>
      <c r="F92" s="1238">
        <f>D92</f>
        <v>1860000</v>
      </c>
      <c r="G92" s="1236" t="s">
        <v>3197</v>
      </c>
      <c r="H92" s="1238">
        <v>1660000</v>
      </c>
      <c r="I92" s="1236"/>
      <c r="J92" s="1238">
        <v>1660000</v>
      </c>
      <c r="K92" s="1238">
        <f>350000+200000+260000+200000+750000+100000</f>
        <v>1860000</v>
      </c>
      <c r="L92" s="1236">
        <f>350000+750000</f>
        <v>1100000</v>
      </c>
      <c r="M92" s="1238">
        <f>K92-L92</f>
        <v>760000</v>
      </c>
      <c r="N92" s="1236"/>
      <c r="O92" s="1236"/>
      <c r="P92" s="1236"/>
      <c r="Q92" s="1236"/>
      <c r="R92" s="1239">
        <v>41741</v>
      </c>
      <c r="S92" s="1763">
        <v>42837</v>
      </c>
      <c r="T92" s="1763"/>
      <c r="U92" s="1240">
        <f t="shared" si="31"/>
        <v>1.558904109589041</v>
      </c>
      <c r="V92" s="1241">
        <f t="shared" si="27"/>
        <v>6.2356164383561641</v>
      </c>
      <c r="W92" s="1236"/>
      <c r="X92" s="1242">
        <f>$D92*8/100*$U92</f>
        <v>231964.9315068493</v>
      </c>
      <c r="Y92" s="1242">
        <f>$H92*8/100*$U92</f>
        <v>207022.46575342465</v>
      </c>
      <c r="Z92" s="1243">
        <f>+D92+Y92</f>
        <v>2067022.4657534247</v>
      </c>
      <c r="AA92" s="1240">
        <f t="shared" si="25"/>
        <v>3927022.4657534249</v>
      </c>
      <c r="AB92" s="1236">
        <f t="shared" si="32"/>
        <v>2184288.2169387774</v>
      </c>
      <c r="AC92" s="1236">
        <f t="shared" si="22"/>
        <v>4044288.2169387774</v>
      </c>
      <c r="AD92" s="1244">
        <v>1660000</v>
      </c>
      <c r="AE92" s="1244">
        <f t="shared" si="28"/>
        <v>3844288.2169387774</v>
      </c>
      <c r="AF92" s="1245">
        <f t="shared" si="29"/>
        <v>200000</v>
      </c>
      <c r="AG92" s="1170"/>
      <c r="AH92" s="1170"/>
      <c r="AI92" s="1170"/>
      <c r="AJ92" s="1170"/>
      <c r="AK92" s="1170"/>
      <c r="AL92" s="1170"/>
      <c r="AM92" s="1170"/>
      <c r="AN92" s="1170"/>
      <c r="AO92" s="1170"/>
      <c r="AP92" s="1170"/>
      <c r="AQ92" s="1170"/>
      <c r="AR92" s="1170"/>
      <c r="AS92" s="1171"/>
      <c r="AT92" s="1129"/>
      <c r="AU92" s="1129"/>
      <c r="AV92" s="1129"/>
      <c r="AW92" s="1162"/>
      <c r="AX92" s="1129"/>
      <c r="AY92" s="1129"/>
      <c r="AZ92" s="1129"/>
      <c r="BA92" s="1129"/>
      <c r="BB92" s="1129"/>
      <c r="BC92" s="1129"/>
      <c r="BD92" s="1129"/>
      <c r="BE92" s="1129"/>
      <c r="BF92" s="1129"/>
      <c r="BG92" s="1129"/>
      <c r="BH92" s="1247"/>
      <c r="BJ92" s="1248"/>
      <c r="BK92" s="1248"/>
      <c r="BM92" s="1153"/>
    </row>
    <row r="93" spans="1:156" ht="15.75">
      <c r="A93" s="1129"/>
      <c r="B93" s="1160"/>
      <c r="C93" s="1161"/>
      <c r="D93" s="1160"/>
      <c r="F93" s="1160"/>
      <c r="H93" s="1160"/>
      <c r="J93" s="1160"/>
      <c r="K93" s="1160"/>
      <c r="M93" s="1160"/>
      <c r="R93" s="1163"/>
      <c r="S93" s="1164"/>
      <c r="T93" s="1164"/>
      <c r="X93" s="1165"/>
      <c r="Y93" s="1165"/>
      <c r="Z93" s="1129"/>
      <c r="AA93" s="1129"/>
      <c r="AC93" s="1129"/>
      <c r="AD93" s="1129"/>
      <c r="AE93" s="1169"/>
      <c r="AF93" s="1170"/>
      <c r="AG93" s="1170"/>
      <c r="AH93" s="1170"/>
      <c r="AI93" s="1170"/>
      <c r="AJ93" s="1170"/>
      <c r="AK93" s="1170"/>
      <c r="AL93" s="1170"/>
      <c r="AM93" s="1170"/>
      <c r="AN93" s="1170"/>
      <c r="AO93" s="1170"/>
      <c r="AP93" s="1170"/>
      <c r="AQ93" s="1170"/>
      <c r="AR93" s="1170"/>
      <c r="AS93" s="1171"/>
      <c r="AW93" s="1162"/>
      <c r="BJ93" s="1172"/>
      <c r="BK93" s="1172"/>
      <c r="BM93" s="1173"/>
    </row>
    <row r="94" spans="1:156">
      <c r="A94" s="1129"/>
      <c r="Y94" s="1129"/>
      <c r="Z94" s="1129"/>
      <c r="AA94" s="1129"/>
      <c r="AC94" s="1129"/>
      <c r="AD94" s="1129"/>
      <c r="AF94" s="1129"/>
    </row>
    <row r="95" spans="1:156">
      <c r="A95" s="1129"/>
      <c r="B95" s="1162"/>
      <c r="C95" s="1162"/>
      <c r="D95" s="1162"/>
      <c r="E95" s="1162"/>
      <c r="F95" s="1162"/>
      <c r="G95" s="1162"/>
      <c r="H95" s="1162"/>
      <c r="I95" s="1162"/>
      <c r="J95" s="1162"/>
      <c r="Y95" s="1129"/>
      <c r="Z95" s="1129"/>
      <c r="AA95" s="1129"/>
      <c r="AC95" s="1129"/>
      <c r="AD95" s="1129"/>
      <c r="AF95" s="1129"/>
    </row>
    <row r="96" spans="1:156">
      <c r="A96" s="1129"/>
      <c r="B96" s="1162"/>
      <c r="C96" s="1162"/>
      <c r="D96" s="1162"/>
      <c r="E96" s="1162"/>
      <c r="F96" s="1162"/>
      <c r="G96" s="1162"/>
      <c r="H96" s="1162"/>
      <c r="I96" s="1162"/>
      <c r="J96" s="1162"/>
      <c r="Y96" s="1129"/>
      <c r="Z96" s="1129"/>
      <c r="AA96" s="1129"/>
      <c r="AC96" s="1129"/>
      <c r="AD96" s="1129"/>
      <c r="AF96" s="1129"/>
    </row>
    <row r="97" spans="1:32">
      <c r="A97" s="1129"/>
      <c r="B97" s="1162"/>
      <c r="C97" s="1162"/>
      <c r="D97" s="1162"/>
      <c r="E97" s="1162"/>
      <c r="F97" s="1162"/>
      <c r="G97" s="1162"/>
      <c r="H97" s="1162"/>
      <c r="I97" s="1162"/>
      <c r="J97" s="1162"/>
      <c r="Y97" s="1129"/>
      <c r="Z97" s="1129"/>
      <c r="AA97" s="1129"/>
      <c r="AC97" s="1129"/>
      <c r="AD97" s="1129"/>
      <c r="AF97" s="1129"/>
    </row>
    <row r="98" spans="1:32">
      <c r="A98" s="1129"/>
      <c r="B98" s="1162"/>
      <c r="C98" s="1162"/>
      <c r="D98" s="1162"/>
      <c r="E98" s="1162"/>
      <c r="F98" s="1162"/>
      <c r="G98" s="1162"/>
      <c r="H98" s="1162"/>
      <c r="I98" s="1162"/>
      <c r="J98" s="1162"/>
      <c r="Y98" s="1129"/>
      <c r="Z98" s="1129"/>
      <c r="AA98" s="1129"/>
      <c r="AC98" s="1129"/>
      <c r="AD98" s="1129"/>
      <c r="AF98" s="1129"/>
    </row>
    <row r="99" spans="1:32">
      <c r="A99" s="1129"/>
      <c r="B99" s="1177"/>
      <c r="C99" s="1177"/>
      <c r="D99" s="1177"/>
      <c r="E99" s="1177"/>
      <c r="F99" s="1177"/>
      <c r="G99" s="1177"/>
      <c r="H99" s="1177"/>
      <c r="I99" s="1177"/>
      <c r="J99" s="1177"/>
      <c r="Y99" s="1129"/>
      <c r="Z99" s="1129"/>
      <c r="AA99" s="1129"/>
      <c r="AC99" s="1129"/>
      <c r="AD99" s="1129"/>
      <c r="AF99" s="1129"/>
    </row>
    <row r="100" spans="1:32">
      <c r="A100" s="1129"/>
      <c r="B100" s="1178"/>
      <c r="C100" s="1178"/>
      <c r="D100" s="1178"/>
      <c r="E100" s="1178"/>
      <c r="Y100" s="1129"/>
      <c r="Z100" s="1129"/>
      <c r="AA100" s="1129"/>
      <c r="AC100" s="1129"/>
      <c r="AD100" s="1129"/>
      <c r="AF100" s="1129"/>
    </row>
    <row r="101" spans="1:32">
      <c r="A101" s="1129"/>
      <c r="Y101" s="1129"/>
      <c r="Z101" s="1129"/>
      <c r="AA101" s="1129"/>
      <c r="AC101" s="1129"/>
      <c r="AD101" s="1129"/>
      <c r="AF101" s="1129"/>
    </row>
    <row r="102" spans="1:32">
      <c r="A102" s="1129"/>
      <c r="Y102" s="1129"/>
      <c r="Z102" s="1129"/>
      <c r="AA102" s="1129"/>
      <c r="AC102" s="1129"/>
      <c r="AD102" s="1129"/>
      <c r="AF102" s="1129"/>
    </row>
    <row r="103" spans="1:32">
      <c r="A103" s="1129"/>
      <c r="Y103" s="1129"/>
      <c r="Z103" s="1129"/>
      <c r="AA103" s="1129"/>
      <c r="AC103" s="1129"/>
      <c r="AD103" s="1129"/>
      <c r="AF103" s="1129"/>
    </row>
    <row r="104" spans="1:32">
      <c r="A104" s="1129"/>
      <c r="Y104" s="1129"/>
      <c r="Z104" s="1129"/>
      <c r="AA104" s="1129"/>
      <c r="AC104" s="1129"/>
      <c r="AD104" s="1129"/>
      <c r="AF104" s="1129"/>
    </row>
    <row r="105" spans="1:32">
      <c r="A105" s="1129"/>
      <c r="Y105" s="1129"/>
      <c r="Z105" s="1129"/>
      <c r="AA105" s="1129"/>
      <c r="AC105" s="1129"/>
      <c r="AD105" s="1129"/>
      <c r="AF105" s="1129"/>
    </row>
    <row r="106" spans="1:32">
      <c r="A106" s="1129"/>
      <c r="Y106" s="1129"/>
      <c r="Z106" s="1129"/>
      <c r="AA106" s="1129"/>
      <c r="AC106" s="1129"/>
      <c r="AD106" s="1129"/>
      <c r="AF106" s="1129"/>
    </row>
    <row r="107" spans="1:32">
      <c r="A107" s="1129"/>
      <c r="Y107" s="1129"/>
      <c r="Z107" s="1129"/>
      <c r="AA107" s="1129"/>
      <c r="AC107" s="1129"/>
      <c r="AD107" s="1129"/>
      <c r="AF107" s="1129"/>
    </row>
    <row r="108" spans="1:32">
      <c r="A108" s="1129"/>
      <c r="Y108" s="1129"/>
      <c r="Z108" s="1129"/>
      <c r="AA108" s="1129"/>
      <c r="AC108" s="1129"/>
      <c r="AD108" s="1129"/>
      <c r="AF108" s="1129"/>
    </row>
    <row r="109" spans="1:32">
      <c r="A109" s="1129"/>
      <c r="Y109" s="1129"/>
      <c r="Z109" s="1129"/>
      <c r="AA109" s="1129"/>
      <c r="AC109" s="1129"/>
      <c r="AD109" s="1129"/>
      <c r="AF109" s="1129"/>
    </row>
    <row r="110" spans="1:32">
      <c r="A110" s="1129"/>
      <c r="Y110" s="1129"/>
      <c r="Z110" s="1129"/>
      <c r="AA110" s="1129"/>
      <c r="AC110" s="1129"/>
      <c r="AD110" s="1129"/>
      <c r="AF110" s="1129"/>
    </row>
    <row r="111" spans="1:32">
      <c r="A111" s="1129"/>
      <c r="Y111" s="1129"/>
      <c r="Z111" s="1129"/>
      <c r="AA111" s="1129"/>
      <c r="AC111" s="1129"/>
      <c r="AD111" s="1129"/>
      <c r="AF111" s="1129"/>
    </row>
    <row r="112" spans="1:32">
      <c r="A112" s="1129"/>
      <c r="Y112" s="1129"/>
      <c r="Z112" s="1129"/>
      <c r="AA112" s="1129"/>
      <c r="AC112" s="1129"/>
      <c r="AD112" s="1129"/>
      <c r="AF112" s="1129"/>
    </row>
    <row r="113" spans="1:32">
      <c r="A113" s="1129"/>
      <c r="Y113" s="1129"/>
      <c r="Z113" s="1129"/>
      <c r="AA113" s="1129"/>
      <c r="AC113" s="1129"/>
      <c r="AD113" s="1129"/>
      <c r="AF113" s="1129"/>
    </row>
    <row r="114" spans="1:32">
      <c r="A114" s="1129"/>
      <c r="B114" s="1179"/>
      <c r="Y114" s="1129"/>
      <c r="Z114" s="1129"/>
      <c r="AA114" s="1129"/>
      <c r="AC114" s="1129"/>
      <c r="AD114" s="1129"/>
      <c r="AF114" s="1129"/>
    </row>
    <row r="115" spans="1:32" ht="15.75">
      <c r="A115" s="1129"/>
      <c r="B115" s="1180"/>
      <c r="Y115" s="1129"/>
      <c r="Z115" s="1129"/>
      <c r="AA115" s="1129"/>
      <c r="AC115" s="1129"/>
      <c r="AD115" s="1129"/>
      <c r="AF115" s="1129"/>
    </row>
    <row r="116" spans="1:32" ht="15.75">
      <c r="A116" s="1129"/>
      <c r="B116" s="1180"/>
      <c r="Y116" s="1129"/>
      <c r="Z116" s="1129"/>
      <c r="AA116" s="1129"/>
      <c r="AC116" s="1129"/>
      <c r="AD116" s="1129"/>
      <c r="AF116" s="1129"/>
    </row>
    <row r="117" spans="1:32">
      <c r="A117" s="1129"/>
      <c r="B117" s="1181"/>
      <c r="C117" s="1182"/>
      <c r="Y117" s="1129"/>
      <c r="Z117" s="1129"/>
      <c r="AA117" s="1129"/>
      <c r="AC117" s="1129"/>
      <c r="AD117" s="1129"/>
      <c r="AF117" s="1129"/>
    </row>
    <row r="118" spans="1:32">
      <c r="A118" s="1129"/>
      <c r="B118" s="1181"/>
      <c r="C118" s="1182"/>
      <c r="Y118" s="1129"/>
      <c r="Z118" s="1129"/>
      <c r="AA118" s="1129"/>
      <c r="AC118" s="1129"/>
      <c r="AD118" s="1129"/>
      <c r="AF118" s="1129"/>
    </row>
    <row r="119" spans="1:32">
      <c r="A119" s="1129"/>
      <c r="B119" s="1183"/>
      <c r="C119" s="1182"/>
      <c r="Y119" s="1129"/>
      <c r="Z119" s="1129"/>
      <c r="AA119" s="1129"/>
      <c r="AC119" s="1129"/>
      <c r="AD119" s="1129"/>
      <c r="AF119" s="1129"/>
    </row>
    <row r="120" spans="1:32">
      <c r="A120" s="1129"/>
      <c r="B120" s="1179"/>
      <c r="C120" s="1129">
        <f>SUM(C117:C119)</f>
        <v>0</v>
      </c>
      <c r="Y120" s="1129"/>
      <c r="Z120" s="1129"/>
      <c r="AA120" s="1129"/>
      <c r="AC120" s="1129"/>
      <c r="AD120" s="1129"/>
      <c r="AF120" s="1129"/>
    </row>
    <row r="121" spans="1:32">
      <c r="A121" s="1129"/>
      <c r="B121" s="1129">
        <f>SUM(B117:B120)</f>
        <v>0</v>
      </c>
      <c r="Y121" s="1129"/>
      <c r="Z121" s="1129"/>
      <c r="AA121" s="1129"/>
      <c r="AC121" s="1129"/>
      <c r="AD121" s="1129"/>
      <c r="AF121" s="1129"/>
    </row>
    <row r="122" spans="1:32">
      <c r="A122" s="1129"/>
      <c r="Y122" s="1129"/>
      <c r="Z122" s="1129"/>
      <c r="AA122" s="1129"/>
      <c r="AC122" s="1129"/>
      <c r="AD122" s="1129"/>
      <c r="AF122" s="1129"/>
    </row>
    <row r="123" spans="1:32">
      <c r="A123" s="1129"/>
      <c r="Y123" s="1129"/>
      <c r="Z123" s="1129"/>
      <c r="AA123" s="1129"/>
      <c r="AC123" s="1129"/>
      <c r="AD123" s="1129"/>
      <c r="AF123" s="1129"/>
    </row>
    <row r="124" spans="1:32">
      <c r="A124" s="1129"/>
      <c r="Y124" s="1129"/>
      <c r="Z124" s="1129"/>
      <c r="AA124" s="1129"/>
      <c r="AC124" s="1129"/>
      <c r="AD124" s="1129"/>
      <c r="AF124" s="1129"/>
    </row>
    <row r="125" spans="1:32">
      <c r="A125" s="1129"/>
      <c r="Y125" s="1129"/>
      <c r="Z125" s="1129"/>
      <c r="AA125" s="1129"/>
      <c r="AC125" s="1129"/>
      <c r="AD125" s="1129"/>
      <c r="AF125" s="1129"/>
    </row>
    <row r="126" spans="1:32">
      <c r="A126" s="1129"/>
      <c r="Y126" s="1129"/>
      <c r="Z126" s="1129"/>
      <c r="AA126" s="1129"/>
      <c r="AC126" s="1129"/>
      <c r="AD126" s="1129"/>
      <c r="AF126" s="1129"/>
    </row>
    <row r="127" spans="1:32">
      <c r="A127" s="1129"/>
      <c r="Y127" s="1129"/>
      <c r="Z127" s="1129"/>
      <c r="AA127" s="1129"/>
      <c r="AC127" s="1129"/>
      <c r="AD127" s="1129"/>
      <c r="AF127" s="1129"/>
    </row>
    <row r="128" spans="1:32">
      <c r="A128" s="1129"/>
      <c r="Y128" s="1129"/>
      <c r="Z128" s="1129"/>
      <c r="AA128" s="1129"/>
      <c r="AC128" s="1129"/>
      <c r="AD128" s="1129"/>
      <c r="AF128" s="1129"/>
    </row>
    <row r="129" spans="1:32">
      <c r="A129" s="1129"/>
      <c r="Y129" s="1129"/>
      <c r="Z129" s="1129"/>
      <c r="AA129" s="1129"/>
      <c r="AC129" s="1129"/>
      <c r="AD129" s="1129"/>
      <c r="AF129" s="1129"/>
    </row>
    <row r="130" spans="1:32">
      <c r="A130" s="1129"/>
      <c r="Y130" s="1129"/>
      <c r="Z130" s="1129"/>
      <c r="AA130" s="1129"/>
      <c r="AC130" s="1129"/>
      <c r="AD130" s="1129"/>
      <c r="AF130" s="1129"/>
    </row>
    <row r="131" spans="1:32">
      <c r="A131" s="1129"/>
      <c r="Y131" s="1129"/>
      <c r="Z131" s="1129"/>
      <c r="AA131" s="1129"/>
      <c r="AC131" s="1129"/>
      <c r="AD131" s="1129"/>
      <c r="AF131" s="1129"/>
    </row>
    <row r="132" spans="1:32">
      <c r="A132" s="1129"/>
      <c r="Y132" s="1129"/>
      <c r="Z132" s="1129"/>
      <c r="AA132" s="1129"/>
      <c r="AC132" s="1129"/>
      <c r="AD132" s="1129"/>
      <c r="AF132" s="1129"/>
    </row>
    <row r="133" spans="1:32">
      <c r="A133" s="1129"/>
      <c r="Y133" s="1129"/>
      <c r="Z133" s="1129"/>
      <c r="AA133" s="1129"/>
      <c r="AC133" s="1129"/>
      <c r="AD133" s="1129"/>
      <c r="AF133" s="1129"/>
    </row>
    <row r="134" spans="1:32">
      <c r="A134" s="1129"/>
      <c r="Y134" s="1129"/>
      <c r="Z134" s="1129"/>
      <c r="AA134" s="1129"/>
      <c r="AC134" s="1129"/>
      <c r="AD134" s="1129"/>
      <c r="AF134" s="1129"/>
    </row>
    <row r="135" spans="1:32">
      <c r="A135" s="1129"/>
      <c r="Y135" s="1129"/>
      <c r="Z135" s="1129"/>
      <c r="AA135" s="1129"/>
      <c r="AC135" s="1129"/>
      <c r="AD135" s="1129"/>
      <c r="AF135" s="1129"/>
    </row>
    <row r="136" spans="1:32">
      <c r="A136" s="1129"/>
      <c r="Y136" s="1129"/>
      <c r="Z136" s="1129"/>
      <c r="AA136" s="1129"/>
      <c r="AC136" s="1129"/>
      <c r="AD136" s="1129"/>
      <c r="AF136" s="1129"/>
    </row>
    <row r="137" spans="1:32">
      <c r="A137" s="1129"/>
      <c r="Y137" s="1129"/>
      <c r="Z137" s="1129"/>
      <c r="AA137" s="1129"/>
      <c r="AC137" s="1129"/>
      <c r="AD137" s="1129"/>
      <c r="AF137" s="1129"/>
    </row>
    <row r="138" spans="1:32">
      <c r="A138" s="1129"/>
      <c r="Y138" s="1129"/>
      <c r="Z138" s="1129"/>
      <c r="AA138" s="1129"/>
      <c r="AC138" s="1129"/>
      <c r="AD138" s="1129"/>
      <c r="AF138" s="1129"/>
    </row>
    <row r="139" spans="1:32">
      <c r="A139" s="1129"/>
      <c r="Y139" s="1129"/>
      <c r="Z139" s="1129"/>
      <c r="AA139" s="1129"/>
      <c r="AC139" s="1129"/>
      <c r="AD139" s="1129"/>
      <c r="AF139" s="1129"/>
    </row>
    <row r="140" spans="1:32">
      <c r="A140" s="1129"/>
      <c r="Y140" s="1129"/>
      <c r="Z140" s="1129"/>
      <c r="AA140" s="1129"/>
      <c r="AC140" s="1129"/>
      <c r="AD140" s="1129"/>
      <c r="AF140" s="1129"/>
    </row>
    <row r="141" spans="1:32">
      <c r="A141" s="1129"/>
      <c r="Y141" s="1129"/>
      <c r="Z141" s="1129"/>
      <c r="AA141" s="1129"/>
      <c r="AC141" s="1129"/>
      <c r="AD141" s="1129"/>
      <c r="AF141" s="1129"/>
    </row>
    <row r="142" spans="1:32">
      <c r="A142" s="1129"/>
      <c r="Y142" s="1129"/>
      <c r="Z142" s="1129"/>
      <c r="AA142" s="1129"/>
      <c r="AC142" s="1129"/>
      <c r="AD142" s="1129"/>
      <c r="AF142" s="1129"/>
    </row>
    <row r="143" spans="1:32">
      <c r="A143" s="1129"/>
      <c r="Y143" s="1129"/>
      <c r="Z143" s="1129"/>
      <c r="AA143" s="1129"/>
      <c r="AC143" s="1129"/>
      <c r="AD143" s="1129"/>
      <c r="AF143" s="1129"/>
    </row>
    <row r="144" spans="1:32">
      <c r="A144" s="1129"/>
      <c r="Y144" s="1129"/>
      <c r="Z144" s="1129"/>
      <c r="AA144" s="1129"/>
      <c r="AC144" s="1129"/>
      <c r="AD144" s="1129"/>
      <c r="AF144" s="1129"/>
    </row>
    <row r="145" spans="1:32">
      <c r="A145" s="1129"/>
      <c r="Y145" s="1129"/>
      <c r="Z145" s="1129"/>
      <c r="AA145" s="1129"/>
      <c r="AC145" s="1129"/>
      <c r="AD145" s="1129"/>
      <c r="AF145" s="1129"/>
    </row>
    <row r="146" spans="1:32">
      <c r="A146" s="1129"/>
      <c r="Y146" s="1129"/>
      <c r="Z146" s="1129"/>
      <c r="AA146" s="1129"/>
      <c r="AC146" s="1129"/>
      <c r="AD146" s="1129"/>
      <c r="AF146" s="1129"/>
    </row>
    <row r="147" spans="1:32">
      <c r="A147" s="1129"/>
      <c r="Y147" s="1129"/>
      <c r="Z147" s="1129"/>
      <c r="AA147" s="1129"/>
      <c r="AC147" s="1129"/>
      <c r="AD147" s="1129"/>
      <c r="AF147" s="1129"/>
    </row>
    <row r="148" spans="1:32">
      <c r="A148" s="1129"/>
      <c r="Y148" s="1129"/>
      <c r="Z148" s="1129"/>
      <c r="AA148" s="1129"/>
      <c r="AC148" s="1129"/>
      <c r="AD148" s="1129"/>
      <c r="AF148" s="1129"/>
    </row>
    <row r="149" spans="1:32">
      <c r="A149" s="1129"/>
      <c r="Y149" s="1129"/>
      <c r="Z149" s="1129"/>
      <c r="AA149" s="1129"/>
      <c r="AC149" s="1129"/>
      <c r="AD149" s="1129"/>
      <c r="AF149" s="1129"/>
    </row>
    <row r="150" spans="1:32">
      <c r="A150" s="1129"/>
      <c r="Y150" s="1129"/>
      <c r="Z150" s="1129"/>
      <c r="AA150" s="1129"/>
      <c r="AC150" s="1129"/>
      <c r="AD150" s="1129"/>
      <c r="AF150" s="1129"/>
    </row>
    <row r="151" spans="1:32">
      <c r="A151" s="1129"/>
      <c r="Y151" s="1129"/>
      <c r="Z151" s="1129"/>
      <c r="AA151" s="1129"/>
      <c r="AC151" s="1129"/>
      <c r="AD151" s="1129"/>
      <c r="AF151" s="1129"/>
    </row>
    <row r="152" spans="1:32">
      <c r="A152" s="1129"/>
      <c r="Y152" s="1129"/>
      <c r="Z152" s="1129"/>
      <c r="AA152" s="1129"/>
      <c r="AC152" s="1129"/>
      <c r="AD152" s="1129"/>
      <c r="AF152" s="1129"/>
    </row>
    <row r="153" spans="1:32">
      <c r="A153" s="1129"/>
      <c r="Y153" s="1129"/>
      <c r="Z153" s="1129"/>
      <c r="AA153" s="1129"/>
      <c r="AC153" s="1129"/>
      <c r="AD153" s="1129"/>
      <c r="AF153" s="1129"/>
    </row>
    <row r="154" spans="1:32">
      <c r="A154" s="1129"/>
      <c r="Y154" s="1129"/>
      <c r="Z154" s="1129"/>
      <c r="AA154" s="1129"/>
      <c r="AC154" s="1129"/>
      <c r="AD154" s="1129"/>
      <c r="AF154" s="1129"/>
    </row>
    <row r="155" spans="1:32">
      <c r="A155" s="1129"/>
      <c r="Y155" s="1129"/>
      <c r="Z155" s="1129"/>
      <c r="AA155" s="1129"/>
      <c r="AC155" s="1129"/>
      <c r="AD155" s="1129"/>
      <c r="AF155" s="1129"/>
    </row>
    <row r="156" spans="1:32">
      <c r="A156" s="1129"/>
      <c r="Y156" s="1129"/>
      <c r="Z156" s="1129"/>
      <c r="AA156" s="1129"/>
      <c r="AC156" s="1129"/>
      <c r="AD156" s="1129"/>
      <c r="AF156" s="1129"/>
    </row>
    <row r="157" spans="1:32">
      <c r="A157" s="1129"/>
      <c r="Y157" s="1129"/>
      <c r="Z157" s="1129"/>
      <c r="AA157" s="1129"/>
      <c r="AC157" s="1129"/>
      <c r="AD157" s="1129"/>
      <c r="AF157" s="1129"/>
    </row>
    <row r="158" spans="1:32">
      <c r="A158" s="1129"/>
      <c r="Y158" s="1129"/>
      <c r="Z158" s="1129"/>
      <c r="AA158" s="1129"/>
      <c r="AC158" s="1129"/>
      <c r="AD158" s="1129"/>
      <c r="AF158" s="1129"/>
    </row>
    <row r="159" spans="1:32">
      <c r="A159" s="1129"/>
      <c r="Y159" s="1129"/>
      <c r="Z159" s="1129"/>
      <c r="AA159" s="1129"/>
      <c r="AC159" s="1129"/>
      <c r="AD159" s="1129"/>
      <c r="AF159" s="1129"/>
    </row>
    <row r="160" spans="1:32">
      <c r="A160" s="1129"/>
      <c r="Y160" s="1129"/>
      <c r="Z160" s="1129"/>
      <c r="AA160" s="1129"/>
      <c r="AC160" s="1129"/>
      <c r="AD160" s="1129"/>
      <c r="AF160" s="1129"/>
    </row>
    <row r="161" spans="1:32">
      <c r="A161" s="1129"/>
      <c r="Y161" s="1129"/>
      <c r="Z161" s="1129"/>
      <c r="AA161" s="1129"/>
      <c r="AC161" s="1129"/>
      <c r="AD161" s="1129"/>
      <c r="AF161" s="1129"/>
    </row>
    <row r="162" spans="1:32">
      <c r="A162" s="1129"/>
      <c r="Y162" s="1129"/>
      <c r="Z162" s="1129"/>
      <c r="AA162" s="1129"/>
      <c r="AC162" s="1129"/>
      <c r="AD162" s="1129"/>
      <c r="AF162" s="1129"/>
    </row>
    <row r="163" spans="1:32">
      <c r="A163" s="1129"/>
      <c r="Y163" s="1129"/>
      <c r="Z163" s="1129"/>
      <c r="AA163" s="1129"/>
      <c r="AC163" s="1129"/>
      <c r="AD163" s="1129"/>
      <c r="AF163" s="1129"/>
    </row>
    <row r="164" spans="1:32">
      <c r="A164" s="1129"/>
      <c r="Y164" s="1129"/>
      <c r="Z164" s="1129"/>
      <c r="AA164" s="1129"/>
      <c r="AC164" s="1129"/>
      <c r="AD164" s="1129"/>
      <c r="AF164" s="1129"/>
    </row>
    <row r="165" spans="1:32">
      <c r="A165" s="1129"/>
      <c r="Y165" s="1129"/>
      <c r="Z165" s="1129"/>
      <c r="AA165" s="1129"/>
      <c r="AC165" s="1129"/>
      <c r="AD165" s="1129"/>
      <c r="AF165" s="1129"/>
    </row>
    <row r="166" spans="1:32">
      <c r="A166" s="1129"/>
      <c r="Y166" s="1129"/>
      <c r="Z166" s="1129"/>
      <c r="AA166" s="1129"/>
      <c r="AC166" s="1129"/>
      <c r="AD166" s="1129"/>
      <c r="AF166" s="1129"/>
    </row>
    <row r="167" spans="1:32">
      <c r="A167" s="1129"/>
      <c r="Y167" s="1129"/>
      <c r="Z167" s="1129"/>
      <c r="AA167" s="1129"/>
      <c r="AC167" s="1129"/>
      <c r="AD167" s="1129"/>
      <c r="AF167" s="1129"/>
    </row>
    <row r="168" spans="1:32">
      <c r="A168" s="1129"/>
      <c r="Y168" s="1129"/>
      <c r="Z168" s="1129"/>
      <c r="AA168" s="1129"/>
      <c r="AC168" s="1129"/>
      <c r="AD168" s="1129"/>
      <c r="AF168" s="1129"/>
    </row>
    <row r="169" spans="1:32">
      <c r="A169" s="1129"/>
      <c r="Y169" s="1129"/>
      <c r="Z169" s="1129"/>
      <c r="AA169" s="1129"/>
      <c r="AC169" s="1129"/>
      <c r="AD169" s="1129"/>
      <c r="AF169" s="1129"/>
    </row>
    <row r="170" spans="1:32">
      <c r="A170" s="1129"/>
      <c r="Y170" s="1129"/>
      <c r="Z170" s="1129"/>
      <c r="AA170" s="1129"/>
      <c r="AC170" s="1129"/>
      <c r="AD170" s="1129"/>
      <c r="AF170" s="1129"/>
    </row>
    <row r="171" spans="1:32">
      <c r="A171" s="1129"/>
      <c r="Y171" s="1129"/>
      <c r="Z171" s="1129"/>
      <c r="AA171" s="1129"/>
      <c r="AC171" s="1129"/>
      <c r="AD171" s="1129"/>
      <c r="AF171" s="1129"/>
    </row>
    <row r="172" spans="1:32">
      <c r="A172" s="1129"/>
      <c r="Y172" s="1129"/>
      <c r="Z172" s="1129"/>
      <c r="AA172" s="1129"/>
      <c r="AC172" s="1129"/>
      <c r="AD172" s="1129"/>
      <c r="AF172" s="1129"/>
    </row>
    <row r="173" spans="1:32">
      <c r="A173" s="1129"/>
      <c r="Y173" s="1129"/>
      <c r="Z173" s="1129"/>
      <c r="AA173" s="1129"/>
      <c r="AC173" s="1129"/>
      <c r="AD173" s="1129"/>
      <c r="AF173" s="1129"/>
    </row>
    <row r="174" spans="1:32">
      <c r="A174" s="1129"/>
      <c r="Y174" s="1129"/>
      <c r="Z174" s="1129"/>
      <c r="AA174" s="1129"/>
      <c r="AC174" s="1129"/>
      <c r="AD174" s="1129"/>
      <c r="AF174" s="1129"/>
    </row>
    <row r="175" spans="1:32">
      <c r="A175" s="1129"/>
      <c r="Y175" s="1129"/>
      <c r="Z175" s="1129"/>
      <c r="AA175" s="1129"/>
      <c r="AC175" s="1129"/>
      <c r="AD175" s="1129"/>
      <c r="AF175" s="1129"/>
    </row>
    <row r="176" spans="1:32">
      <c r="A176" s="1129"/>
      <c r="Y176" s="1129"/>
      <c r="Z176" s="1129"/>
      <c r="AA176" s="1129"/>
      <c r="AC176" s="1129"/>
      <c r="AD176" s="1129"/>
      <c r="AF176" s="1129"/>
    </row>
    <row r="177" spans="1:32">
      <c r="A177" s="1129"/>
      <c r="Y177" s="1129"/>
      <c r="Z177" s="1129"/>
      <c r="AA177" s="1129"/>
      <c r="AC177" s="1129"/>
      <c r="AD177" s="1129"/>
      <c r="AF177" s="1129"/>
    </row>
    <row r="178" spans="1:32">
      <c r="A178" s="1129"/>
      <c r="Y178" s="1129"/>
      <c r="Z178" s="1129"/>
      <c r="AA178" s="1129"/>
      <c r="AC178" s="1129"/>
      <c r="AD178" s="1129"/>
      <c r="AF178" s="1129"/>
    </row>
    <row r="179" spans="1:32">
      <c r="A179" s="1129"/>
      <c r="Y179" s="1129"/>
      <c r="Z179" s="1129"/>
      <c r="AA179" s="1129"/>
      <c r="AC179" s="1129"/>
      <c r="AD179" s="1129"/>
      <c r="AF179" s="1129"/>
    </row>
    <row r="180" spans="1:32">
      <c r="A180" s="1129"/>
      <c r="Y180" s="1129"/>
      <c r="Z180" s="1129"/>
      <c r="AA180" s="1129"/>
      <c r="AC180" s="1129"/>
      <c r="AD180" s="1129"/>
      <c r="AF180" s="1129"/>
    </row>
    <row r="181" spans="1:32">
      <c r="A181" s="1129"/>
      <c r="Y181" s="1129"/>
      <c r="Z181" s="1129"/>
      <c r="AA181" s="1129"/>
      <c r="AC181" s="1129"/>
      <c r="AD181" s="1129"/>
      <c r="AF181" s="1129"/>
    </row>
    <row r="182" spans="1:32">
      <c r="A182" s="1129"/>
      <c r="Y182" s="1129"/>
      <c r="Z182" s="1129"/>
      <c r="AA182" s="1129"/>
      <c r="AC182" s="1129"/>
      <c r="AD182" s="1129"/>
      <c r="AF182" s="1129"/>
    </row>
    <row r="183" spans="1:32">
      <c r="A183" s="1129"/>
      <c r="Y183" s="1129"/>
      <c r="Z183" s="1129"/>
      <c r="AA183" s="1129"/>
      <c r="AC183" s="1129"/>
      <c r="AD183" s="1129"/>
      <c r="AF183" s="1129"/>
    </row>
    <row r="184" spans="1:32">
      <c r="A184" s="1129"/>
      <c r="Y184" s="1129"/>
      <c r="Z184" s="1129"/>
      <c r="AA184" s="1129"/>
      <c r="AC184" s="1129"/>
      <c r="AD184" s="1129"/>
      <c r="AF184" s="1129"/>
    </row>
    <row r="185" spans="1:32">
      <c r="A185" s="1129"/>
      <c r="Y185" s="1129"/>
      <c r="Z185" s="1129"/>
      <c r="AA185" s="1129"/>
      <c r="AC185" s="1129"/>
      <c r="AD185" s="1129"/>
      <c r="AF185" s="1129"/>
    </row>
    <row r="186" spans="1:32">
      <c r="A186" s="1129"/>
      <c r="Y186" s="1129"/>
      <c r="Z186" s="1129"/>
      <c r="AA186" s="1129"/>
      <c r="AC186" s="1129"/>
      <c r="AD186" s="1129"/>
      <c r="AF186" s="1129"/>
    </row>
    <row r="187" spans="1:32">
      <c r="A187" s="1129"/>
      <c r="Y187" s="1129"/>
      <c r="Z187" s="1129"/>
      <c r="AA187" s="1129"/>
      <c r="AC187" s="1129"/>
      <c r="AD187" s="1129"/>
      <c r="AF187" s="1129"/>
    </row>
    <row r="188" spans="1:32">
      <c r="A188" s="1129"/>
      <c r="Y188" s="1129"/>
      <c r="Z188" s="1129"/>
      <c r="AA188" s="1129"/>
      <c r="AC188" s="1129"/>
      <c r="AD188" s="1129"/>
      <c r="AF188" s="1129"/>
    </row>
    <row r="189" spans="1:32">
      <c r="A189" s="1129"/>
      <c r="Y189" s="1129"/>
      <c r="Z189" s="1129"/>
      <c r="AA189" s="1129"/>
      <c r="AC189" s="1129"/>
      <c r="AD189" s="1129"/>
      <c r="AF189" s="1129"/>
    </row>
    <row r="190" spans="1:32">
      <c r="A190" s="1129"/>
      <c r="Y190" s="1129"/>
      <c r="Z190" s="1129"/>
      <c r="AA190" s="1129"/>
      <c r="AC190" s="1129"/>
      <c r="AD190" s="1129"/>
      <c r="AF190" s="1129"/>
    </row>
    <row r="191" spans="1:32">
      <c r="A191" s="1129"/>
      <c r="Y191" s="1129"/>
      <c r="Z191" s="1129"/>
      <c r="AA191" s="1129"/>
      <c r="AC191" s="1129"/>
      <c r="AD191" s="1129"/>
      <c r="AF191" s="1129"/>
    </row>
    <row r="192" spans="1:32">
      <c r="A192" s="1129"/>
      <c r="Y192" s="1129"/>
      <c r="Z192" s="1129"/>
      <c r="AA192" s="1129"/>
      <c r="AC192" s="1129"/>
      <c r="AD192" s="1129"/>
      <c r="AF192" s="1129"/>
    </row>
    <row r="193" spans="1:32">
      <c r="A193" s="1129"/>
      <c r="Y193" s="1129"/>
      <c r="Z193" s="1129"/>
      <c r="AA193" s="1129"/>
      <c r="AC193" s="1129"/>
      <c r="AD193" s="1129"/>
      <c r="AF193" s="1129"/>
    </row>
    <row r="194" spans="1:32">
      <c r="A194" s="1129"/>
      <c r="Y194" s="1129"/>
      <c r="Z194" s="1129"/>
      <c r="AA194" s="1129"/>
      <c r="AC194" s="1129"/>
      <c r="AD194" s="1129"/>
      <c r="AF194" s="1129"/>
    </row>
    <row r="195" spans="1:32">
      <c r="A195" s="1129"/>
      <c r="Y195" s="1129"/>
      <c r="Z195" s="1129"/>
      <c r="AA195" s="1129"/>
      <c r="AC195" s="1129"/>
      <c r="AD195" s="1129"/>
      <c r="AF195" s="1129"/>
    </row>
    <row r="196" spans="1:32">
      <c r="A196" s="1129"/>
      <c r="Y196" s="1129"/>
      <c r="Z196" s="1129"/>
      <c r="AA196" s="1129"/>
      <c r="AC196" s="1129"/>
      <c r="AD196" s="1129"/>
      <c r="AF196" s="1129"/>
    </row>
    <row r="197" spans="1:32">
      <c r="A197" s="1129"/>
      <c r="Y197" s="1129"/>
      <c r="Z197" s="1129"/>
      <c r="AA197" s="1129"/>
      <c r="AC197" s="1129"/>
      <c r="AD197" s="1129"/>
      <c r="AF197" s="1129"/>
    </row>
    <row r="198" spans="1:32">
      <c r="A198" s="1129"/>
      <c r="Y198" s="1129"/>
      <c r="Z198" s="1129"/>
      <c r="AA198" s="1129"/>
      <c r="AC198" s="1129"/>
      <c r="AD198" s="1129"/>
      <c r="AF198" s="1129"/>
    </row>
    <row r="199" spans="1:32">
      <c r="A199" s="1129"/>
      <c r="Y199" s="1129"/>
      <c r="Z199" s="1129"/>
      <c r="AA199" s="1129"/>
      <c r="AC199" s="1129"/>
      <c r="AD199" s="1129"/>
      <c r="AF199" s="1129"/>
    </row>
    <row r="200" spans="1:32">
      <c r="A200" s="1129"/>
      <c r="Y200" s="1129"/>
      <c r="Z200" s="1129"/>
      <c r="AA200" s="1129"/>
      <c r="AC200" s="1129"/>
      <c r="AD200" s="1129"/>
      <c r="AF200" s="1129"/>
    </row>
    <row r="201" spans="1:32">
      <c r="A201" s="1129"/>
      <c r="Y201" s="1129"/>
      <c r="Z201" s="1129"/>
      <c r="AA201" s="1129"/>
      <c r="AC201" s="1129"/>
      <c r="AD201" s="1129"/>
      <c r="AF201" s="1129"/>
    </row>
    <row r="202" spans="1:32">
      <c r="A202" s="1129"/>
      <c r="Y202" s="1129"/>
      <c r="Z202" s="1129"/>
      <c r="AA202" s="1129"/>
      <c r="AC202" s="1129"/>
      <c r="AD202" s="1129"/>
      <c r="AF202" s="1129"/>
    </row>
    <row r="203" spans="1:32">
      <c r="A203" s="1129"/>
      <c r="Y203" s="1129"/>
      <c r="Z203" s="1129"/>
      <c r="AA203" s="1129"/>
      <c r="AC203" s="1129"/>
      <c r="AD203" s="1129"/>
      <c r="AF203" s="1129"/>
    </row>
    <row r="204" spans="1:32">
      <c r="A204" s="1129"/>
      <c r="Y204" s="1129"/>
      <c r="Z204" s="1129"/>
      <c r="AA204" s="1129"/>
      <c r="AC204" s="1129"/>
      <c r="AD204" s="1129"/>
      <c r="AF204" s="1129"/>
    </row>
    <row r="205" spans="1:32">
      <c r="A205" s="1129"/>
      <c r="Y205" s="1129"/>
      <c r="Z205" s="1129"/>
      <c r="AA205" s="1129"/>
      <c r="AC205" s="1129"/>
      <c r="AD205" s="1129"/>
      <c r="AF205" s="1129"/>
    </row>
    <row r="206" spans="1:32">
      <c r="A206" s="1129"/>
      <c r="Y206" s="1129"/>
      <c r="Z206" s="1129"/>
      <c r="AA206" s="1129"/>
      <c r="AC206" s="1129"/>
      <c r="AD206" s="1129"/>
      <c r="AF206" s="1129"/>
    </row>
    <row r="207" spans="1:32">
      <c r="A207" s="1129"/>
      <c r="Y207" s="1129"/>
      <c r="Z207" s="1129"/>
      <c r="AA207" s="1129"/>
      <c r="AC207" s="1129"/>
      <c r="AD207" s="1129"/>
      <c r="AF207" s="1129"/>
    </row>
    <row r="208" spans="1:32">
      <c r="A208" s="1129"/>
      <c r="Y208" s="1129"/>
      <c r="Z208" s="1129"/>
      <c r="AA208" s="1129"/>
      <c r="AC208" s="1129"/>
      <c r="AD208" s="1129"/>
      <c r="AF208" s="1129"/>
    </row>
    <row r="209" spans="1:32">
      <c r="A209" s="1129"/>
      <c r="Y209" s="1129"/>
      <c r="Z209" s="1129"/>
      <c r="AA209" s="1129"/>
      <c r="AC209" s="1129"/>
      <c r="AD209" s="1129"/>
      <c r="AF209" s="1129"/>
    </row>
    <row r="210" spans="1:32">
      <c r="A210" s="1129"/>
      <c r="Y210" s="1129"/>
      <c r="Z210" s="1129"/>
      <c r="AA210" s="1129"/>
      <c r="AC210" s="1129"/>
      <c r="AD210" s="1129"/>
      <c r="AF210" s="1129"/>
    </row>
    <row r="211" spans="1:32">
      <c r="A211" s="1129"/>
      <c r="Y211" s="1129"/>
      <c r="Z211" s="1129"/>
      <c r="AA211" s="1129"/>
      <c r="AC211" s="1129"/>
      <c r="AD211" s="1129"/>
      <c r="AF211" s="1129"/>
    </row>
    <row r="212" spans="1:32">
      <c r="A212" s="1129"/>
      <c r="Y212" s="1129"/>
      <c r="Z212" s="1129"/>
      <c r="AA212" s="1129"/>
      <c r="AC212" s="1129"/>
      <c r="AD212" s="1129"/>
      <c r="AF212" s="1129"/>
    </row>
    <row r="213" spans="1:32">
      <c r="A213" s="1129"/>
      <c r="Y213" s="1129"/>
      <c r="Z213" s="1129"/>
      <c r="AA213" s="1129"/>
      <c r="AC213" s="1129"/>
      <c r="AD213" s="1129"/>
      <c r="AF213" s="1129"/>
    </row>
    <row r="214" spans="1:32">
      <c r="A214" s="1129"/>
      <c r="Y214" s="1129"/>
      <c r="Z214" s="1129"/>
      <c r="AA214" s="1129"/>
      <c r="AC214" s="1129"/>
      <c r="AD214" s="1129"/>
      <c r="AF214" s="1129"/>
    </row>
    <row r="215" spans="1:32">
      <c r="A215" s="1129"/>
      <c r="Y215" s="1129"/>
      <c r="Z215" s="1129"/>
      <c r="AA215" s="1129"/>
      <c r="AC215" s="1129"/>
      <c r="AD215" s="1129"/>
      <c r="AF215" s="1129"/>
    </row>
    <row r="216" spans="1:32">
      <c r="A216" s="1129"/>
      <c r="Y216" s="1129"/>
      <c r="Z216" s="1129"/>
      <c r="AA216" s="1129"/>
      <c r="AC216" s="1129"/>
      <c r="AD216" s="1129"/>
      <c r="AF216" s="1129"/>
    </row>
    <row r="217" spans="1:32">
      <c r="A217" s="1129"/>
      <c r="Y217" s="1129"/>
      <c r="Z217" s="1129"/>
      <c r="AA217" s="1129"/>
      <c r="AC217" s="1129"/>
      <c r="AD217" s="1129"/>
      <c r="AF217" s="1129"/>
    </row>
    <row r="218" spans="1:32">
      <c r="A218" s="1129"/>
      <c r="Y218" s="1129"/>
      <c r="Z218" s="1129"/>
      <c r="AA218" s="1129"/>
      <c r="AC218" s="1129"/>
      <c r="AD218" s="1129"/>
      <c r="AF218" s="1129"/>
    </row>
    <row r="219" spans="1:32">
      <c r="A219" s="1129"/>
      <c r="Y219" s="1129"/>
      <c r="Z219" s="1129"/>
      <c r="AA219" s="1129"/>
      <c r="AC219" s="1129"/>
      <c r="AD219" s="1129"/>
      <c r="AF219" s="1129"/>
    </row>
    <row r="220" spans="1:32">
      <c r="A220" s="1129"/>
      <c r="Y220" s="1129"/>
      <c r="Z220" s="1129"/>
      <c r="AA220" s="1129"/>
      <c r="AC220" s="1129"/>
      <c r="AD220" s="1129"/>
      <c r="AF220" s="1129"/>
    </row>
    <row r="221" spans="1:32">
      <c r="A221" s="1129"/>
      <c r="Y221" s="1129"/>
      <c r="Z221" s="1129"/>
      <c r="AA221" s="1129"/>
      <c r="AC221" s="1129"/>
      <c r="AD221" s="1129"/>
      <c r="AF221" s="1129"/>
    </row>
    <row r="222" spans="1:32">
      <c r="A222" s="1129"/>
      <c r="Y222" s="1129"/>
      <c r="Z222" s="1129"/>
      <c r="AA222" s="1129"/>
      <c r="AC222" s="1129"/>
      <c r="AD222" s="1129"/>
      <c r="AF222" s="1129"/>
    </row>
    <row r="223" spans="1:32">
      <c r="A223" s="1129"/>
      <c r="Y223" s="1129"/>
      <c r="Z223" s="1129"/>
      <c r="AA223" s="1129"/>
      <c r="AC223" s="1129"/>
      <c r="AD223" s="1129"/>
      <c r="AF223" s="1129"/>
    </row>
    <row r="224" spans="1:32">
      <c r="A224" s="1129"/>
      <c r="Y224" s="1129"/>
      <c r="Z224" s="1129"/>
      <c r="AA224" s="1129"/>
      <c r="AC224" s="1129"/>
      <c r="AD224" s="1129"/>
      <c r="AF224" s="1129"/>
    </row>
    <row r="225" spans="1:32">
      <c r="A225" s="1129"/>
      <c r="Y225" s="1129"/>
      <c r="Z225" s="1129"/>
      <c r="AA225" s="1129"/>
      <c r="AC225" s="1129"/>
      <c r="AD225" s="1129"/>
      <c r="AF225" s="1129"/>
    </row>
    <row r="226" spans="1:32">
      <c r="A226" s="1129"/>
      <c r="Y226" s="1129"/>
      <c r="Z226" s="1129"/>
      <c r="AA226" s="1129"/>
      <c r="AC226" s="1129"/>
      <c r="AD226" s="1129"/>
      <c r="AF226" s="1129"/>
    </row>
    <row r="227" spans="1:32">
      <c r="A227" s="1129"/>
      <c r="Y227" s="1129"/>
      <c r="Z227" s="1129"/>
      <c r="AA227" s="1129"/>
      <c r="AC227" s="1129"/>
      <c r="AD227" s="1129"/>
      <c r="AF227" s="1129"/>
    </row>
    <row r="228" spans="1:32">
      <c r="A228" s="1129"/>
      <c r="Y228" s="1129"/>
      <c r="Z228" s="1129"/>
      <c r="AA228" s="1129"/>
      <c r="AC228" s="1129"/>
      <c r="AD228" s="1129"/>
      <c r="AF228" s="1129"/>
    </row>
    <row r="229" spans="1:32">
      <c r="A229" s="1129"/>
      <c r="Y229" s="1129"/>
      <c r="Z229" s="1129"/>
      <c r="AA229" s="1129"/>
      <c r="AC229" s="1129"/>
      <c r="AD229" s="1129"/>
      <c r="AF229" s="1129"/>
    </row>
    <row r="230" spans="1:32">
      <c r="A230" s="1129"/>
      <c r="Y230" s="1129"/>
      <c r="Z230" s="1129"/>
      <c r="AA230" s="1129"/>
      <c r="AC230" s="1129"/>
      <c r="AD230" s="1129"/>
      <c r="AF230" s="1129"/>
    </row>
    <row r="231" spans="1:32">
      <c r="A231" s="1129"/>
      <c r="Y231" s="1129"/>
      <c r="Z231" s="1129"/>
      <c r="AA231" s="1129"/>
      <c r="AC231" s="1129"/>
      <c r="AD231" s="1129"/>
      <c r="AF231" s="1129"/>
    </row>
    <row r="232" spans="1:32">
      <c r="A232" s="1129"/>
      <c r="Y232" s="1129"/>
      <c r="Z232" s="1129"/>
      <c r="AA232" s="1129"/>
      <c r="AC232" s="1129"/>
      <c r="AD232" s="1129"/>
      <c r="AF232" s="1129"/>
    </row>
    <row r="233" spans="1:32">
      <c r="A233" s="1129"/>
      <c r="Y233" s="1129"/>
      <c r="Z233" s="1129"/>
      <c r="AA233" s="1129"/>
      <c r="AC233" s="1129"/>
      <c r="AD233" s="1129"/>
      <c r="AF233" s="1129"/>
    </row>
    <row r="234" spans="1:32">
      <c r="A234" s="1129"/>
      <c r="Y234" s="1129"/>
      <c r="Z234" s="1129"/>
      <c r="AA234" s="1129"/>
      <c r="AC234" s="1129"/>
      <c r="AD234" s="1129"/>
      <c r="AF234" s="1129"/>
    </row>
    <row r="235" spans="1:32">
      <c r="A235" s="1129"/>
      <c r="Y235" s="1129"/>
      <c r="Z235" s="1129"/>
      <c r="AA235" s="1129"/>
      <c r="AC235" s="1129"/>
      <c r="AD235" s="1129"/>
      <c r="AF235" s="1129"/>
    </row>
    <row r="236" spans="1:32">
      <c r="A236" s="1129"/>
      <c r="Y236" s="1129"/>
      <c r="Z236" s="1129"/>
      <c r="AA236" s="1129"/>
      <c r="AC236" s="1129"/>
      <c r="AD236" s="1129"/>
      <c r="AF236" s="1129"/>
    </row>
    <row r="237" spans="1:32">
      <c r="A237" s="1129"/>
      <c r="Y237" s="1129"/>
      <c r="Z237" s="1129"/>
      <c r="AA237" s="1129"/>
      <c r="AC237" s="1129"/>
      <c r="AD237" s="1129"/>
      <c r="AF237" s="1129"/>
    </row>
    <row r="238" spans="1:32">
      <c r="A238" s="1129"/>
      <c r="Y238" s="1129"/>
      <c r="Z238" s="1129"/>
      <c r="AA238" s="1129"/>
      <c r="AC238" s="1129"/>
      <c r="AD238" s="1129"/>
      <c r="AF238" s="1129"/>
    </row>
    <row r="239" spans="1:32">
      <c r="A239" s="1129"/>
      <c r="Y239" s="1129"/>
      <c r="Z239" s="1129"/>
      <c r="AA239" s="1129"/>
      <c r="AC239" s="1129"/>
      <c r="AD239" s="1129"/>
      <c r="AF239" s="1129"/>
    </row>
    <row r="240" spans="1:32">
      <c r="A240" s="1129"/>
      <c r="Y240" s="1129"/>
      <c r="Z240" s="1129"/>
      <c r="AA240" s="1129"/>
      <c r="AC240" s="1129"/>
      <c r="AD240" s="1129"/>
      <c r="AF240" s="1129"/>
    </row>
    <row r="241" spans="1:32">
      <c r="A241" s="1129"/>
      <c r="Y241" s="1129"/>
      <c r="Z241" s="1129"/>
      <c r="AA241" s="1129"/>
      <c r="AC241" s="1129"/>
      <c r="AD241" s="1129"/>
      <c r="AF241" s="1129"/>
    </row>
    <row r="242" spans="1:32">
      <c r="A242" s="1129"/>
      <c r="Y242" s="1129"/>
      <c r="Z242" s="1129"/>
      <c r="AA242" s="1129"/>
      <c r="AC242" s="1129"/>
      <c r="AD242" s="1129"/>
      <c r="AF242" s="1129"/>
    </row>
    <row r="243" spans="1:32">
      <c r="A243" s="1129"/>
      <c r="Y243" s="1129"/>
      <c r="Z243" s="1129"/>
      <c r="AA243" s="1129"/>
      <c r="AC243" s="1129"/>
      <c r="AD243" s="1129"/>
      <c r="AF243" s="1129"/>
    </row>
    <row r="244" spans="1:32">
      <c r="A244" s="1129"/>
      <c r="Y244" s="1129"/>
      <c r="Z244" s="1129"/>
      <c r="AA244" s="1129"/>
      <c r="AC244" s="1129"/>
      <c r="AD244" s="1129"/>
      <c r="AF244" s="1129"/>
    </row>
    <row r="245" spans="1:32">
      <c r="A245" s="1129"/>
      <c r="Y245" s="1129"/>
      <c r="Z245" s="1129"/>
      <c r="AA245" s="1129"/>
      <c r="AC245" s="1129"/>
      <c r="AD245" s="1129"/>
      <c r="AF245" s="1129"/>
    </row>
    <row r="246" spans="1:32">
      <c r="A246" s="1129"/>
      <c r="Y246" s="1129"/>
      <c r="Z246" s="1129"/>
      <c r="AA246" s="1129"/>
      <c r="AC246" s="1129"/>
      <c r="AD246" s="1129"/>
      <c r="AF246" s="1129"/>
    </row>
    <row r="247" spans="1:32">
      <c r="A247" s="1129"/>
      <c r="Y247" s="1129"/>
      <c r="Z247" s="1129"/>
      <c r="AA247" s="1129"/>
      <c r="AC247" s="1129"/>
      <c r="AD247" s="1129"/>
      <c r="AF247" s="1129"/>
    </row>
    <row r="248" spans="1:32">
      <c r="A248" s="1129"/>
      <c r="Y248" s="1129"/>
      <c r="Z248" s="1129"/>
      <c r="AA248" s="1129"/>
      <c r="AC248" s="1129"/>
      <c r="AD248" s="1129"/>
      <c r="AF248" s="1129"/>
    </row>
    <row r="249" spans="1:32">
      <c r="A249" s="1129"/>
      <c r="Y249" s="1129"/>
      <c r="Z249" s="1129"/>
      <c r="AA249" s="1129"/>
      <c r="AC249" s="1129"/>
      <c r="AD249" s="1129"/>
      <c r="AF249" s="1129"/>
    </row>
    <row r="250" spans="1:32">
      <c r="A250" s="1129"/>
      <c r="Y250" s="1129"/>
      <c r="Z250" s="1129"/>
      <c r="AA250" s="1129"/>
      <c r="AC250" s="1129"/>
      <c r="AD250" s="1129"/>
      <c r="AF250" s="1129"/>
    </row>
    <row r="251" spans="1:32">
      <c r="A251" s="1129"/>
      <c r="Y251" s="1129"/>
      <c r="Z251" s="1129"/>
      <c r="AA251" s="1129"/>
      <c r="AC251" s="1129"/>
      <c r="AD251" s="1129"/>
      <c r="AF251" s="1129"/>
    </row>
    <row r="252" spans="1:32">
      <c r="A252" s="1129"/>
      <c r="Y252" s="1129"/>
      <c r="Z252" s="1129"/>
      <c r="AA252" s="1129"/>
      <c r="AC252" s="1129"/>
      <c r="AD252" s="1129"/>
      <c r="AF252" s="1129"/>
    </row>
    <row r="253" spans="1:32">
      <c r="A253" s="1129"/>
      <c r="Y253" s="1129"/>
      <c r="Z253" s="1129"/>
      <c r="AA253" s="1129"/>
      <c r="AC253" s="1129"/>
      <c r="AD253" s="1129"/>
      <c r="AF253" s="1129"/>
    </row>
    <row r="254" spans="1:32">
      <c r="A254" s="1129"/>
      <c r="Y254" s="1129"/>
      <c r="Z254" s="1129"/>
      <c r="AA254" s="1129"/>
      <c r="AC254" s="1129"/>
      <c r="AD254" s="1129"/>
      <c r="AF254" s="1129"/>
    </row>
    <row r="255" spans="1:32">
      <c r="A255" s="1129"/>
      <c r="Y255" s="1129"/>
      <c r="Z255" s="1129"/>
      <c r="AA255" s="1129"/>
      <c r="AC255" s="1129"/>
      <c r="AD255" s="1129"/>
      <c r="AF255" s="1129"/>
    </row>
    <row r="256" spans="1:32">
      <c r="A256" s="1129"/>
      <c r="Y256" s="1129"/>
      <c r="Z256" s="1129"/>
      <c r="AA256" s="1129"/>
      <c r="AC256" s="1129"/>
      <c r="AD256" s="1129"/>
      <c r="AF256" s="1129"/>
    </row>
    <row r="257" spans="1:32">
      <c r="A257" s="1129"/>
      <c r="Y257" s="1129"/>
      <c r="Z257" s="1129"/>
      <c r="AA257" s="1129"/>
      <c r="AC257" s="1129"/>
      <c r="AD257" s="1129"/>
      <c r="AF257" s="1129"/>
    </row>
    <row r="258" spans="1:32">
      <c r="A258" s="1129"/>
      <c r="Y258" s="1129"/>
      <c r="Z258" s="1129"/>
      <c r="AA258" s="1129"/>
      <c r="AC258" s="1129"/>
      <c r="AD258" s="1129"/>
      <c r="AF258" s="1129"/>
    </row>
    <row r="259" spans="1:32">
      <c r="A259" s="1129"/>
      <c r="Y259" s="1129"/>
      <c r="Z259" s="1129"/>
      <c r="AA259" s="1129"/>
      <c r="AC259" s="1129"/>
      <c r="AD259" s="1129"/>
      <c r="AF259" s="1129"/>
    </row>
    <row r="260" spans="1:32">
      <c r="A260" s="1129"/>
      <c r="Y260" s="1129"/>
      <c r="Z260" s="1129"/>
      <c r="AA260" s="1129"/>
      <c r="AC260" s="1129"/>
      <c r="AD260" s="1129"/>
      <c r="AF260" s="1129"/>
    </row>
    <row r="261" spans="1:32">
      <c r="A261" s="1129"/>
      <c r="Y261" s="1129"/>
      <c r="Z261" s="1129"/>
      <c r="AA261" s="1129"/>
      <c r="AC261" s="1129"/>
      <c r="AD261" s="1129"/>
      <c r="AF261" s="1129"/>
    </row>
    <row r="262" spans="1:32">
      <c r="A262" s="1129"/>
      <c r="Y262" s="1129"/>
      <c r="Z262" s="1129"/>
      <c r="AA262" s="1129"/>
      <c r="AC262" s="1129"/>
      <c r="AD262" s="1129"/>
      <c r="AF262" s="1129"/>
    </row>
    <row r="263" spans="1:32">
      <c r="A263" s="1129"/>
      <c r="Y263" s="1129"/>
      <c r="Z263" s="1129"/>
      <c r="AA263" s="1129"/>
      <c r="AC263" s="1129"/>
      <c r="AD263" s="1129"/>
      <c r="AF263" s="1129"/>
    </row>
    <row r="264" spans="1:32">
      <c r="A264" s="1129"/>
      <c r="Y264" s="1129"/>
      <c r="Z264" s="1129"/>
      <c r="AA264" s="1129"/>
      <c r="AC264" s="1129"/>
      <c r="AD264" s="1129"/>
      <c r="AF264" s="1129"/>
    </row>
    <row r="265" spans="1:32">
      <c r="A265" s="1129"/>
      <c r="Y265" s="1129"/>
      <c r="Z265" s="1129"/>
      <c r="AA265" s="1129"/>
      <c r="AC265" s="1129"/>
      <c r="AD265" s="1129"/>
      <c r="AF265" s="1129"/>
    </row>
    <row r="266" spans="1:32">
      <c r="A266" s="1129"/>
      <c r="Y266" s="1129"/>
      <c r="Z266" s="1129"/>
      <c r="AA266" s="1129"/>
      <c r="AC266" s="1129"/>
      <c r="AD266" s="1129"/>
      <c r="AF266" s="1129"/>
    </row>
    <row r="267" spans="1:32">
      <c r="A267" s="1129"/>
      <c r="Y267" s="1129"/>
      <c r="Z267" s="1129"/>
      <c r="AA267" s="1129"/>
      <c r="AC267" s="1129"/>
      <c r="AD267" s="1129"/>
      <c r="AF267" s="1129"/>
    </row>
    <row r="268" spans="1:32">
      <c r="A268" s="1129"/>
      <c r="Y268" s="1129"/>
      <c r="Z268" s="1129"/>
      <c r="AA268" s="1129"/>
      <c r="AC268" s="1129"/>
      <c r="AD268" s="1129"/>
      <c r="AF268" s="1129"/>
    </row>
    <row r="269" spans="1:32">
      <c r="A269" s="1129"/>
      <c r="Y269" s="1129"/>
      <c r="Z269" s="1129"/>
      <c r="AA269" s="1129"/>
      <c r="AC269" s="1129"/>
      <c r="AD269" s="1129"/>
      <c r="AF269" s="1129"/>
    </row>
    <row r="270" spans="1:32">
      <c r="A270" s="1129"/>
      <c r="Y270" s="1129"/>
      <c r="Z270" s="1129"/>
      <c r="AA270" s="1129"/>
      <c r="AC270" s="1129"/>
      <c r="AD270" s="1129"/>
      <c r="AF270" s="1129"/>
    </row>
    <row r="271" spans="1:32">
      <c r="A271" s="1129"/>
      <c r="Y271" s="1129"/>
      <c r="Z271" s="1129"/>
      <c r="AA271" s="1129"/>
      <c r="AC271" s="1129"/>
      <c r="AD271" s="1129"/>
      <c r="AF271" s="1129"/>
    </row>
    <row r="272" spans="1:32">
      <c r="A272" s="1129"/>
      <c r="Y272" s="1129"/>
      <c r="Z272" s="1129"/>
      <c r="AA272" s="1129"/>
      <c r="AC272" s="1129"/>
      <c r="AD272" s="1129"/>
      <c r="AF272" s="1129"/>
    </row>
    <row r="273" spans="1:32">
      <c r="A273" s="1129"/>
      <c r="Y273" s="1129"/>
      <c r="Z273" s="1129"/>
      <c r="AA273" s="1129"/>
      <c r="AC273" s="1129"/>
      <c r="AD273" s="1129"/>
      <c r="AF273" s="1129"/>
    </row>
    <row r="274" spans="1:32">
      <c r="A274" s="1129"/>
      <c r="Y274" s="1129"/>
      <c r="Z274" s="1129"/>
      <c r="AA274" s="1129"/>
      <c r="AC274" s="1129"/>
      <c r="AD274" s="1129"/>
      <c r="AF274" s="1129"/>
    </row>
    <row r="275" spans="1:32">
      <c r="A275" s="1129"/>
      <c r="Y275" s="1129"/>
      <c r="Z275" s="1129"/>
      <c r="AA275" s="1129"/>
      <c r="AC275" s="1129"/>
      <c r="AD275" s="1129"/>
      <c r="AF275" s="1129"/>
    </row>
    <row r="276" spans="1:32">
      <c r="A276" s="1129"/>
      <c r="Y276" s="1129"/>
      <c r="Z276" s="1129"/>
      <c r="AA276" s="1129"/>
      <c r="AC276" s="1129"/>
      <c r="AD276" s="1129"/>
      <c r="AF276" s="1129"/>
    </row>
    <row r="277" spans="1:32">
      <c r="A277" s="1129"/>
      <c r="Y277" s="1129"/>
      <c r="Z277" s="1129"/>
      <c r="AA277" s="1129"/>
      <c r="AC277" s="1129"/>
      <c r="AD277" s="1129"/>
      <c r="AF277" s="1129"/>
    </row>
    <row r="278" spans="1:32">
      <c r="A278" s="1129"/>
      <c r="Y278" s="1129"/>
      <c r="Z278" s="1129"/>
      <c r="AA278" s="1129"/>
      <c r="AC278" s="1129"/>
      <c r="AD278" s="1129"/>
      <c r="AF278" s="1129"/>
    </row>
    <row r="279" spans="1:32">
      <c r="A279" s="1129"/>
      <c r="Y279" s="1129"/>
      <c r="Z279" s="1129"/>
      <c r="AA279" s="1129"/>
      <c r="AC279" s="1129"/>
      <c r="AD279" s="1129"/>
      <c r="AF279" s="1129"/>
    </row>
    <row r="280" spans="1:32">
      <c r="A280" s="1129"/>
      <c r="Y280" s="1129"/>
      <c r="Z280" s="1129"/>
      <c r="AA280" s="1129"/>
      <c r="AC280" s="1129"/>
      <c r="AD280" s="1129"/>
      <c r="AF280" s="1129"/>
    </row>
    <row r="281" spans="1:32">
      <c r="A281" s="1129"/>
      <c r="Y281" s="1129"/>
      <c r="Z281" s="1129"/>
      <c r="AA281" s="1129"/>
      <c r="AC281" s="1129"/>
      <c r="AD281" s="1129"/>
      <c r="AF281" s="1129"/>
    </row>
    <row r="282" spans="1:32">
      <c r="A282" s="1129"/>
      <c r="Y282" s="1129"/>
      <c r="Z282" s="1129"/>
      <c r="AA282" s="1129"/>
      <c r="AC282" s="1129"/>
      <c r="AD282" s="1129"/>
      <c r="AF282" s="1129"/>
    </row>
    <row r="283" spans="1:32">
      <c r="A283" s="1129"/>
      <c r="Y283" s="1129"/>
      <c r="Z283" s="1129"/>
      <c r="AA283" s="1129"/>
      <c r="AC283" s="1129"/>
      <c r="AD283" s="1129"/>
      <c r="AF283" s="1129"/>
    </row>
    <row r="284" spans="1:32">
      <c r="A284" s="1129"/>
      <c r="Y284" s="1129"/>
      <c r="Z284" s="1129"/>
      <c r="AA284" s="1129"/>
      <c r="AC284" s="1129"/>
      <c r="AD284" s="1129"/>
      <c r="AF284" s="1129"/>
    </row>
    <row r="285" spans="1:32">
      <c r="A285" s="1129"/>
      <c r="Y285" s="1129"/>
      <c r="Z285" s="1129"/>
      <c r="AA285" s="1129"/>
      <c r="AC285" s="1129"/>
      <c r="AD285" s="1129"/>
      <c r="AF285" s="1129"/>
    </row>
    <row r="286" spans="1:32">
      <c r="A286" s="1129"/>
      <c r="Y286" s="1129"/>
      <c r="Z286" s="1129"/>
      <c r="AA286" s="1129"/>
      <c r="AC286" s="1129"/>
      <c r="AD286" s="1129"/>
      <c r="AF286" s="1129"/>
    </row>
    <row r="287" spans="1:32">
      <c r="A287" s="1129"/>
      <c r="Y287" s="1129"/>
      <c r="Z287" s="1129"/>
      <c r="AA287" s="1129"/>
      <c r="AC287" s="1129"/>
      <c r="AD287" s="1129"/>
      <c r="AF287" s="1129"/>
    </row>
    <row r="288" spans="1:32">
      <c r="A288" s="1129"/>
      <c r="Y288" s="1129"/>
      <c r="Z288" s="1129"/>
      <c r="AA288" s="1129"/>
      <c r="AC288" s="1129"/>
      <c r="AD288" s="1129"/>
      <c r="AF288" s="1129"/>
    </row>
    <row r="289" spans="1:32">
      <c r="A289" s="1129"/>
      <c r="Y289" s="1129"/>
      <c r="Z289" s="1129"/>
      <c r="AA289" s="1129"/>
      <c r="AC289" s="1129"/>
      <c r="AD289" s="1129"/>
      <c r="AF289" s="1129"/>
    </row>
    <row r="290" spans="1:32">
      <c r="A290" s="1129"/>
      <c r="Y290" s="1129"/>
      <c r="Z290" s="1129"/>
      <c r="AA290" s="1129"/>
      <c r="AC290" s="1129"/>
      <c r="AD290" s="1129"/>
      <c r="AF290" s="1129"/>
    </row>
    <row r="291" spans="1:32">
      <c r="A291" s="1129"/>
      <c r="Y291" s="1129"/>
      <c r="Z291" s="1129"/>
      <c r="AA291" s="1129"/>
      <c r="AC291" s="1129"/>
      <c r="AD291" s="1129"/>
      <c r="AF291" s="1129"/>
    </row>
    <row r="292" spans="1:32">
      <c r="A292" s="1129"/>
      <c r="Y292" s="1129"/>
      <c r="Z292" s="1129"/>
      <c r="AA292" s="1129"/>
      <c r="AC292" s="1129"/>
      <c r="AD292" s="1129"/>
      <c r="AF292" s="1129"/>
    </row>
    <row r="293" spans="1:32">
      <c r="A293" s="1129"/>
      <c r="Y293" s="1129"/>
      <c r="Z293" s="1129"/>
      <c r="AA293" s="1129"/>
      <c r="AC293" s="1129"/>
      <c r="AD293" s="1129"/>
      <c r="AF293" s="1129"/>
    </row>
    <row r="294" spans="1:32">
      <c r="A294" s="1129"/>
      <c r="Y294" s="1129"/>
      <c r="Z294" s="1129"/>
      <c r="AA294" s="1129"/>
      <c r="AC294" s="1129"/>
      <c r="AD294" s="1129"/>
      <c r="AF294" s="1129"/>
    </row>
    <row r="295" spans="1:32">
      <c r="A295" s="1129"/>
      <c r="Y295" s="1129"/>
      <c r="Z295" s="1129"/>
      <c r="AA295" s="1129"/>
      <c r="AC295" s="1129"/>
      <c r="AD295" s="1129"/>
      <c r="AF295" s="1129"/>
    </row>
    <row r="296" spans="1:32">
      <c r="A296" s="1129"/>
      <c r="Y296" s="1129"/>
      <c r="Z296" s="1129"/>
      <c r="AA296" s="1129"/>
      <c r="AC296" s="1129"/>
      <c r="AD296" s="1129"/>
      <c r="AF296" s="1129"/>
    </row>
    <row r="297" spans="1:32">
      <c r="A297" s="1129"/>
      <c r="Y297" s="1129"/>
      <c r="Z297" s="1129"/>
      <c r="AA297" s="1129"/>
      <c r="AC297" s="1129"/>
      <c r="AD297" s="1129"/>
      <c r="AF297" s="1129"/>
    </row>
    <row r="298" spans="1:32">
      <c r="A298" s="1129"/>
      <c r="Y298" s="1129"/>
      <c r="Z298" s="1129"/>
      <c r="AA298" s="1129"/>
      <c r="AC298" s="1129"/>
      <c r="AD298" s="1129"/>
      <c r="AF298" s="1129"/>
    </row>
    <row r="299" spans="1:32">
      <c r="A299" s="1129"/>
      <c r="Y299" s="1129"/>
      <c r="Z299" s="1129"/>
      <c r="AA299" s="1129"/>
      <c r="AC299" s="1129"/>
      <c r="AD299" s="1129"/>
      <c r="AF299" s="1129"/>
    </row>
    <row r="300" spans="1:32">
      <c r="A300" s="1129"/>
      <c r="Y300" s="1129"/>
      <c r="Z300" s="1129"/>
      <c r="AA300" s="1129"/>
      <c r="AC300" s="1129"/>
      <c r="AD300" s="1129"/>
      <c r="AF300" s="1129"/>
    </row>
    <row r="301" spans="1:32">
      <c r="A301" s="1129"/>
      <c r="Y301" s="1129"/>
      <c r="Z301" s="1129"/>
      <c r="AA301" s="1129"/>
      <c r="AC301" s="1129"/>
      <c r="AD301" s="1129"/>
      <c r="AF301" s="1129"/>
    </row>
    <row r="302" spans="1:32">
      <c r="A302" s="1129"/>
      <c r="Y302" s="1129"/>
      <c r="Z302" s="1129"/>
      <c r="AA302" s="1129"/>
      <c r="AC302" s="1129"/>
      <c r="AD302" s="1129"/>
      <c r="AF302" s="1129"/>
    </row>
    <row r="303" spans="1:32">
      <c r="A303" s="1129"/>
      <c r="Y303" s="1129"/>
      <c r="Z303" s="1129"/>
      <c r="AA303" s="1129"/>
      <c r="AC303" s="1129"/>
      <c r="AD303" s="1129"/>
      <c r="AF303" s="1129"/>
    </row>
    <row r="304" spans="1:32">
      <c r="A304" s="1129"/>
      <c r="Y304" s="1129"/>
      <c r="Z304" s="1129"/>
      <c r="AA304" s="1129"/>
      <c r="AC304" s="1129"/>
      <c r="AD304" s="1129"/>
      <c r="AF304" s="1129"/>
    </row>
    <row r="305" spans="1:32">
      <c r="A305" s="1129"/>
      <c r="Y305" s="1129"/>
      <c r="Z305" s="1129"/>
      <c r="AA305" s="1129"/>
      <c r="AC305" s="1129"/>
      <c r="AD305" s="1129"/>
      <c r="AF305" s="1129"/>
    </row>
    <row r="306" spans="1:32">
      <c r="A306" s="1129"/>
      <c r="Y306" s="1129"/>
      <c r="Z306" s="1129"/>
      <c r="AA306" s="1129"/>
      <c r="AC306" s="1129"/>
      <c r="AD306" s="1129"/>
      <c r="AF306" s="1129"/>
    </row>
    <row r="307" spans="1:32">
      <c r="A307" s="1129"/>
      <c r="Y307" s="1129"/>
      <c r="Z307" s="1129"/>
      <c r="AA307" s="1129"/>
      <c r="AC307" s="1129"/>
      <c r="AD307" s="1129"/>
      <c r="AF307" s="1129"/>
    </row>
    <row r="308" spans="1:32">
      <c r="A308" s="1129"/>
      <c r="Y308" s="1129"/>
      <c r="Z308" s="1129"/>
      <c r="AA308" s="1129"/>
      <c r="AC308" s="1129"/>
      <c r="AD308" s="1129"/>
      <c r="AF308" s="1129"/>
    </row>
    <row r="309" spans="1:32">
      <c r="A309" s="1129"/>
      <c r="Y309" s="1129"/>
      <c r="Z309" s="1129"/>
      <c r="AA309" s="1129"/>
      <c r="AC309" s="1129"/>
      <c r="AD309" s="1129"/>
      <c r="AF309" s="1129"/>
    </row>
    <row r="310" spans="1:32">
      <c r="A310" s="1129"/>
      <c r="Y310" s="1129"/>
      <c r="Z310" s="1129"/>
      <c r="AA310" s="1129"/>
      <c r="AC310" s="1129"/>
      <c r="AD310" s="1129"/>
      <c r="AF310" s="1129"/>
    </row>
    <row r="311" spans="1:32">
      <c r="AA311" s="1168"/>
      <c r="AF311" s="1249"/>
    </row>
  </sheetData>
  <mergeCells count="91">
    <mergeCell ref="S90:T90"/>
    <mergeCell ref="S91:T91"/>
    <mergeCell ref="S92:T92"/>
    <mergeCell ref="S84:T84"/>
    <mergeCell ref="S85:T85"/>
    <mergeCell ref="S86:T86"/>
    <mergeCell ref="S87:T87"/>
    <mergeCell ref="S88:T88"/>
    <mergeCell ref="S89:T89"/>
    <mergeCell ref="S83:T83"/>
    <mergeCell ref="S72:T72"/>
    <mergeCell ref="S73:T73"/>
    <mergeCell ref="S74:T74"/>
    <mergeCell ref="S75:T75"/>
    <mergeCell ref="S76:T76"/>
    <mergeCell ref="S77:T77"/>
    <mergeCell ref="S78:T78"/>
    <mergeCell ref="S79:T79"/>
    <mergeCell ref="S80:T80"/>
    <mergeCell ref="S81:T81"/>
    <mergeCell ref="S82:T82"/>
    <mergeCell ref="S71:T71"/>
    <mergeCell ref="S60:T60"/>
    <mergeCell ref="S61:T61"/>
    <mergeCell ref="S62:T62"/>
    <mergeCell ref="S63:T63"/>
    <mergeCell ref="S64:T64"/>
    <mergeCell ref="S65:T65"/>
    <mergeCell ref="S66:T66"/>
    <mergeCell ref="S67:T67"/>
    <mergeCell ref="S68:T68"/>
    <mergeCell ref="S69:T69"/>
    <mergeCell ref="S70:T70"/>
    <mergeCell ref="S55:T55"/>
    <mergeCell ref="S56:T56"/>
    <mergeCell ref="S57:T57"/>
    <mergeCell ref="S58:T58"/>
    <mergeCell ref="S59:T59"/>
    <mergeCell ref="S50:T50"/>
    <mergeCell ref="S51:T51"/>
    <mergeCell ref="S52:T52"/>
    <mergeCell ref="S53:T53"/>
    <mergeCell ref="S54:T54"/>
    <mergeCell ref="S48:T48"/>
    <mergeCell ref="S42:T42"/>
    <mergeCell ref="S43:T43"/>
    <mergeCell ref="S44:T44"/>
    <mergeCell ref="S45:T45"/>
    <mergeCell ref="S46:T46"/>
    <mergeCell ref="S47:T47"/>
    <mergeCell ref="S41:T41"/>
    <mergeCell ref="S30:T30"/>
    <mergeCell ref="S31:T31"/>
    <mergeCell ref="S32:T32"/>
    <mergeCell ref="S33:T33"/>
    <mergeCell ref="S34:T34"/>
    <mergeCell ref="S35:T35"/>
    <mergeCell ref="S36:T36"/>
    <mergeCell ref="S37:T37"/>
    <mergeCell ref="S38:T38"/>
    <mergeCell ref="S39:T39"/>
    <mergeCell ref="S40:T40"/>
    <mergeCell ref="S29:T29"/>
    <mergeCell ref="S19:T19"/>
    <mergeCell ref="S20:T20"/>
    <mergeCell ref="S21:T21"/>
    <mergeCell ref="S22:T22"/>
    <mergeCell ref="S23:T23"/>
    <mergeCell ref="S24:T24"/>
    <mergeCell ref="S25:T25"/>
    <mergeCell ref="S26:T26"/>
    <mergeCell ref="S27:T27"/>
    <mergeCell ref="S28:T28"/>
    <mergeCell ref="S18:T18"/>
    <mergeCell ref="S7:T7"/>
    <mergeCell ref="S8:T8"/>
    <mergeCell ref="S9:T9"/>
    <mergeCell ref="S10:T10"/>
    <mergeCell ref="S11:T11"/>
    <mergeCell ref="S12:T12"/>
    <mergeCell ref="S13:T13"/>
    <mergeCell ref="S14:T14"/>
    <mergeCell ref="S15:T15"/>
    <mergeCell ref="S16:T16"/>
    <mergeCell ref="S17:T17"/>
    <mergeCell ref="S6:T6"/>
    <mergeCell ref="S1:T1"/>
    <mergeCell ref="S2:T2"/>
    <mergeCell ref="S3:T3"/>
    <mergeCell ref="S4:T4"/>
    <mergeCell ref="S5:T5"/>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C32"/>
  <sheetViews>
    <sheetView topLeftCell="A10" workbookViewId="0">
      <selection activeCell="F6" sqref="F6"/>
    </sheetView>
  </sheetViews>
  <sheetFormatPr defaultRowHeight="15"/>
  <cols>
    <col min="1" max="1" width="17.5703125" style="665" customWidth="1"/>
    <col min="2" max="2" width="16.42578125" style="665" customWidth="1"/>
    <col min="3" max="3" width="38.85546875" style="665" customWidth="1"/>
  </cols>
  <sheetData>
    <row r="1" spans="1:3" ht="23.25">
      <c r="A1" s="1434" t="s">
        <v>2405</v>
      </c>
      <c r="B1" s="1434"/>
      <c r="C1" s="1434"/>
    </row>
    <row r="3" spans="1:3" ht="30" customHeight="1">
      <c r="A3" s="666" t="s">
        <v>2380</v>
      </c>
      <c r="B3" s="666" t="s">
        <v>2381</v>
      </c>
      <c r="C3" s="667" t="s">
        <v>2382</v>
      </c>
    </row>
    <row r="4" spans="1:3" ht="30" customHeight="1">
      <c r="A4" s="668" t="s">
        <v>2383</v>
      </c>
      <c r="B4" s="668" t="s">
        <v>2384</v>
      </c>
      <c r="C4" s="384" t="s">
        <v>2385</v>
      </c>
    </row>
    <row r="5" spans="1:3" ht="30" customHeight="1">
      <c r="A5" s="668" t="s">
        <v>2383</v>
      </c>
      <c r="B5" s="668" t="s">
        <v>2384</v>
      </c>
      <c r="C5" s="384" t="s">
        <v>2385</v>
      </c>
    </row>
    <row r="6" spans="1:3" ht="30" customHeight="1">
      <c r="A6" s="668" t="s">
        <v>2383</v>
      </c>
      <c r="B6" s="668" t="s">
        <v>2384</v>
      </c>
      <c r="C6" s="384" t="s">
        <v>2386</v>
      </c>
    </row>
    <row r="7" spans="1:3" ht="30" customHeight="1">
      <c r="A7" s="668" t="s">
        <v>2383</v>
      </c>
      <c r="B7" s="668" t="s">
        <v>2384</v>
      </c>
      <c r="C7" s="384" t="s">
        <v>2386</v>
      </c>
    </row>
    <row r="8" spans="1:3" ht="30" customHeight="1">
      <c r="A8" s="668" t="s">
        <v>2383</v>
      </c>
      <c r="B8" s="668" t="s">
        <v>2384</v>
      </c>
      <c r="C8" s="384" t="s">
        <v>2386</v>
      </c>
    </row>
    <row r="9" spans="1:3" ht="30" customHeight="1">
      <c r="A9" s="668" t="s">
        <v>2383</v>
      </c>
      <c r="B9" s="668" t="s">
        <v>2384</v>
      </c>
      <c r="C9" s="384" t="s">
        <v>2386</v>
      </c>
    </row>
    <row r="10" spans="1:3" ht="30" customHeight="1">
      <c r="A10" s="668" t="s">
        <v>2383</v>
      </c>
      <c r="B10" s="668" t="s">
        <v>2384</v>
      </c>
      <c r="C10" s="384" t="s">
        <v>2387</v>
      </c>
    </row>
    <row r="11" spans="1:3" ht="30" customHeight="1">
      <c r="A11" s="668" t="s">
        <v>2383</v>
      </c>
      <c r="B11" s="668" t="s">
        <v>2384</v>
      </c>
      <c r="C11" s="384" t="s">
        <v>2387</v>
      </c>
    </row>
    <row r="12" spans="1:3" ht="30" customHeight="1">
      <c r="A12" s="668" t="s">
        <v>2383</v>
      </c>
      <c r="B12" s="668" t="s">
        <v>2384</v>
      </c>
      <c r="C12" s="384" t="s">
        <v>2387</v>
      </c>
    </row>
    <row r="13" spans="1:3" ht="30" customHeight="1">
      <c r="A13" s="668" t="s">
        <v>2383</v>
      </c>
      <c r="B13" s="668" t="s">
        <v>2384</v>
      </c>
      <c r="C13" s="384" t="s">
        <v>2387</v>
      </c>
    </row>
    <row r="14" spans="1:3" ht="30" customHeight="1">
      <c r="A14" s="668" t="s">
        <v>2383</v>
      </c>
      <c r="B14" s="668" t="s">
        <v>2384</v>
      </c>
      <c r="C14" s="384" t="s">
        <v>2387</v>
      </c>
    </row>
    <row r="15" spans="1:3" ht="43.5" customHeight="1">
      <c r="A15" s="668" t="s">
        <v>2383</v>
      </c>
      <c r="B15" s="384" t="s">
        <v>2388</v>
      </c>
      <c r="C15" s="384" t="s">
        <v>2389</v>
      </c>
    </row>
    <row r="16" spans="1:3" ht="50.25" customHeight="1">
      <c r="A16" s="668" t="s">
        <v>2383</v>
      </c>
      <c r="B16" s="384" t="s">
        <v>2388</v>
      </c>
      <c r="C16" s="384" t="s">
        <v>2390</v>
      </c>
    </row>
    <row r="17" spans="1:3" ht="45" customHeight="1">
      <c r="A17" s="668" t="s">
        <v>2383</v>
      </c>
      <c r="B17" s="384" t="s">
        <v>2388</v>
      </c>
      <c r="C17" s="384" t="s">
        <v>2391</v>
      </c>
    </row>
    <row r="18" spans="1:3" ht="39.75" customHeight="1">
      <c r="A18" s="668" t="s">
        <v>2383</v>
      </c>
      <c r="B18" s="384" t="s">
        <v>2388</v>
      </c>
      <c r="C18" s="384" t="s">
        <v>2392</v>
      </c>
    </row>
    <row r="19" spans="1:3" ht="41.25" customHeight="1">
      <c r="A19" s="668" t="s">
        <v>2383</v>
      </c>
      <c r="B19" s="384" t="s">
        <v>2388</v>
      </c>
      <c r="C19" s="384" t="s">
        <v>2392</v>
      </c>
    </row>
    <row r="20" spans="1:3" ht="41.25" customHeight="1">
      <c r="A20" s="668" t="s">
        <v>2383</v>
      </c>
      <c r="B20" s="384" t="s">
        <v>2388</v>
      </c>
      <c r="C20" s="384" t="s">
        <v>2392</v>
      </c>
    </row>
    <row r="21" spans="1:3" ht="30" customHeight="1">
      <c r="A21" s="668" t="s">
        <v>2383</v>
      </c>
      <c r="B21" s="668" t="s">
        <v>2384</v>
      </c>
      <c r="C21" s="384" t="s">
        <v>2393</v>
      </c>
    </row>
    <row r="22" spans="1:3" ht="30" customHeight="1">
      <c r="A22" s="668" t="s">
        <v>2383</v>
      </c>
      <c r="B22" s="669" t="s">
        <v>2394</v>
      </c>
      <c r="C22" s="384" t="s">
        <v>2395</v>
      </c>
    </row>
    <row r="23" spans="1:3" ht="30" customHeight="1">
      <c r="A23" s="668" t="s">
        <v>2383</v>
      </c>
      <c r="B23" s="669" t="s">
        <v>2394</v>
      </c>
      <c r="C23" s="384" t="s">
        <v>2396</v>
      </c>
    </row>
    <row r="24" spans="1:3" ht="30" customHeight="1">
      <c r="A24" s="668" t="s">
        <v>2383</v>
      </c>
      <c r="B24" s="668" t="s">
        <v>2384</v>
      </c>
      <c r="C24" s="384" t="s">
        <v>2397</v>
      </c>
    </row>
    <row r="25" spans="1:3" ht="30" customHeight="1">
      <c r="A25" s="668" t="s">
        <v>2383</v>
      </c>
      <c r="B25" s="669" t="s">
        <v>2394</v>
      </c>
      <c r="C25" s="384" t="s">
        <v>2395</v>
      </c>
    </row>
    <row r="26" spans="1:3" ht="30" customHeight="1">
      <c r="A26" s="668" t="s">
        <v>2383</v>
      </c>
      <c r="B26" s="668" t="s">
        <v>2384</v>
      </c>
      <c r="C26" s="384" t="s">
        <v>2398</v>
      </c>
    </row>
    <row r="27" spans="1:3" ht="30" customHeight="1">
      <c r="A27" s="668" t="s">
        <v>2383</v>
      </c>
      <c r="B27" s="669" t="s">
        <v>2394</v>
      </c>
      <c r="C27" s="384" t="s">
        <v>2399</v>
      </c>
    </row>
    <row r="28" spans="1:3" ht="30" customHeight="1">
      <c r="A28" s="668" t="s">
        <v>2383</v>
      </c>
      <c r="B28" s="669" t="s">
        <v>2394</v>
      </c>
      <c r="C28" s="384" t="s">
        <v>2400</v>
      </c>
    </row>
    <row r="29" spans="1:3" ht="30" customHeight="1">
      <c r="A29" s="668" t="s">
        <v>2383</v>
      </c>
      <c r="B29" s="668" t="s">
        <v>2384</v>
      </c>
      <c r="C29" s="384" t="s">
        <v>2401</v>
      </c>
    </row>
    <row r="30" spans="1:3" ht="30" customHeight="1">
      <c r="A30" s="668" t="s">
        <v>2383</v>
      </c>
      <c r="B30" s="669" t="s">
        <v>2394</v>
      </c>
      <c r="C30" s="384" t="s">
        <v>2402</v>
      </c>
    </row>
    <row r="31" spans="1:3" ht="30" customHeight="1">
      <c r="A31" s="668" t="s">
        <v>2383</v>
      </c>
      <c r="B31" s="669" t="s">
        <v>2394</v>
      </c>
      <c r="C31" s="384" t="s">
        <v>2403</v>
      </c>
    </row>
    <row r="32" spans="1:3" ht="30" customHeight="1">
      <c r="A32" s="668" t="s">
        <v>2383</v>
      </c>
      <c r="B32" s="668" t="s">
        <v>2384</v>
      </c>
      <c r="C32" s="384" t="s">
        <v>2404</v>
      </c>
    </row>
  </sheetData>
  <mergeCells count="1">
    <mergeCell ref="A1:C1"/>
  </mergeCells>
  <pageMargins left="0.7" right="0.7" top="0.75" bottom="0.75" header="0.3" footer="0.3"/>
  <pageSetup paperSize="5" scale="85" orientation="portrait" r:id="rId1"/>
</worksheet>
</file>

<file path=xl/worksheets/sheet7.xml><?xml version="1.0" encoding="utf-8"?>
<worksheet xmlns="http://schemas.openxmlformats.org/spreadsheetml/2006/main" xmlns:r="http://schemas.openxmlformats.org/officeDocument/2006/relationships">
  <dimension ref="A1:D1619"/>
  <sheetViews>
    <sheetView workbookViewId="0">
      <selection activeCell="G10" sqref="G9:G10"/>
    </sheetView>
  </sheetViews>
  <sheetFormatPr defaultRowHeight="15"/>
  <cols>
    <col min="1" max="1" width="27.5703125" style="504" customWidth="1"/>
    <col min="2" max="2" width="16.5703125" style="510" customWidth="1"/>
    <col min="3" max="3" width="17.140625" style="510" customWidth="1"/>
    <col min="4" max="4" width="48" style="510" hidden="1" customWidth="1"/>
    <col min="5" max="5" width="18.140625" customWidth="1"/>
    <col min="6" max="6" width="11.5703125" bestFit="1" customWidth="1"/>
  </cols>
  <sheetData>
    <row r="1" spans="1:4" ht="23.25">
      <c r="A1" s="1433" t="s">
        <v>1688</v>
      </c>
      <c r="B1" s="1433"/>
      <c r="C1" s="1433"/>
      <c r="D1" s="527"/>
    </row>
    <row r="2" spans="1:4" s="394" customFormat="1">
      <c r="A2" s="504"/>
      <c r="B2" s="510"/>
      <c r="C2" s="510"/>
      <c r="D2" s="510"/>
    </row>
    <row r="3" spans="1:4" ht="37.5" customHeight="1">
      <c r="A3" s="505" t="s">
        <v>1689</v>
      </c>
      <c r="B3" s="511" t="s">
        <v>1826</v>
      </c>
      <c r="C3" s="511" t="s">
        <v>1828</v>
      </c>
      <c r="D3" s="513"/>
    </row>
    <row r="4" spans="1:4" ht="81.75" hidden="1" customHeight="1">
      <c r="A4" s="508" t="s">
        <v>1690</v>
      </c>
      <c r="B4" s="509" t="s">
        <v>1827</v>
      </c>
      <c r="C4" s="508" t="s">
        <v>1829</v>
      </c>
      <c r="D4" s="501" t="s">
        <v>1830</v>
      </c>
    </row>
    <row r="5" spans="1:4">
      <c r="A5" s="506" t="s">
        <v>1691</v>
      </c>
      <c r="B5" s="512">
        <v>38077</v>
      </c>
      <c r="C5" s="497">
        <v>30</v>
      </c>
      <c r="D5" s="514">
        <v>698243.28091031942</v>
      </c>
    </row>
    <row r="6" spans="1:4">
      <c r="A6" s="506" t="s">
        <v>1692</v>
      </c>
      <c r="B6" s="512">
        <v>38080</v>
      </c>
      <c r="C6" s="497">
        <v>30</v>
      </c>
      <c r="D6" s="514">
        <v>14773.183203374505</v>
      </c>
    </row>
    <row r="7" spans="1:4">
      <c r="A7" s="506" t="s">
        <v>1693</v>
      </c>
      <c r="B7" s="512">
        <v>38085</v>
      </c>
      <c r="C7" s="497">
        <v>30</v>
      </c>
      <c r="D7" s="514">
        <v>1733.3411703942747</v>
      </c>
    </row>
    <row r="8" spans="1:4">
      <c r="A8" s="506" t="s">
        <v>1694</v>
      </c>
      <c r="B8" s="512">
        <v>38086</v>
      </c>
      <c r="C8" s="497">
        <v>30</v>
      </c>
      <c r="D8" s="514">
        <v>1989.3994542013381</v>
      </c>
    </row>
    <row r="9" spans="1:4">
      <c r="A9" s="506" t="s">
        <v>1695</v>
      </c>
      <c r="B9" s="512">
        <v>38110</v>
      </c>
      <c r="C9" s="497">
        <v>30</v>
      </c>
      <c r="D9" s="514">
        <v>11622.061050089891</v>
      </c>
    </row>
    <row r="10" spans="1:4">
      <c r="A10" s="506" t="s">
        <v>1696</v>
      </c>
      <c r="B10" s="512">
        <v>38129</v>
      </c>
      <c r="C10" s="497">
        <v>30</v>
      </c>
      <c r="D10" s="514">
        <v>440.69689721458047</v>
      </c>
    </row>
    <row r="11" spans="1:4">
      <c r="A11" s="506" t="s">
        <v>1697</v>
      </c>
      <c r="B11" s="512">
        <v>38131</v>
      </c>
      <c r="C11" s="497">
        <v>30</v>
      </c>
      <c r="D11" s="514">
        <v>440.8374456493533</v>
      </c>
    </row>
    <row r="12" spans="1:4">
      <c r="A12" s="506" t="s">
        <v>1698</v>
      </c>
      <c r="B12" s="512">
        <v>38157</v>
      </c>
      <c r="C12" s="497">
        <v>30</v>
      </c>
      <c r="D12" s="514">
        <v>390.92457623053213</v>
      </c>
    </row>
    <row r="13" spans="1:4">
      <c r="A13" s="506" t="s">
        <v>1699</v>
      </c>
      <c r="B13" s="512">
        <v>38173</v>
      </c>
      <c r="C13" s="497">
        <v>30</v>
      </c>
      <c r="D13" s="514">
        <v>495.66045196076561</v>
      </c>
    </row>
    <row r="14" spans="1:4">
      <c r="A14" s="506" t="s">
        <v>1700</v>
      </c>
      <c r="B14" s="512">
        <v>38174</v>
      </c>
      <c r="C14" s="497">
        <v>30</v>
      </c>
      <c r="D14" s="514">
        <v>205.78930519524363</v>
      </c>
    </row>
    <row r="15" spans="1:4">
      <c r="A15" s="506" t="s">
        <v>1701</v>
      </c>
      <c r="B15" s="512">
        <v>38175</v>
      </c>
      <c r="C15" s="497">
        <v>30</v>
      </c>
      <c r="D15" s="514">
        <v>2017.8616462114146</v>
      </c>
    </row>
    <row r="16" spans="1:4">
      <c r="A16" s="506" t="s">
        <v>1702</v>
      </c>
      <c r="B16" s="512">
        <v>38176</v>
      </c>
      <c r="C16" s="497">
        <v>30</v>
      </c>
      <c r="D16" s="514">
        <v>13348.826318380859</v>
      </c>
    </row>
    <row r="17" spans="1:4">
      <c r="A17" s="506" t="s">
        <v>1703</v>
      </c>
      <c r="B17" s="512">
        <v>38187</v>
      </c>
      <c r="C17" s="497">
        <v>30</v>
      </c>
      <c r="D17" s="514">
        <v>4304.4773084556973</v>
      </c>
    </row>
    <row r="18" spans="1:4">
      <c r="A18" s="506" t="s">
        <v>1704</v>
      </c>
      <c r="B18" s="512">
        <v>38192</v>
      </c>
      <c r="C18" s="497">
        <v>30</v>
      </c>
      <c r="D18" s="514">
        <v>497.15178144302814</v>
      </c>
    </row>
    <row r="19" spans="1:4">
      <c r="A19" s="506" t="s">
        <v>1705</v>
      </c>
      <c r="B19" s="512">
        <v>38194</v>
      </c>
      <c r="C19" s="497">
        <v>30</v>
      </c>
      <c r="D19" s="514">
        <v>231.30640216511523</v>
      </c>
    </row>
    <row r="20" spans="1:4">
      <c r="A20" s="506" t="s">
        <v>1706</v>
      </c>
      <c r="B20" s="512">
        <v>38201</v>
      </c>
      <c r="C20" s="497">
        <v>30</v>
      </c>
      <c r="D20" s="514">
        <v>4428.6224283555093</v>
      </c>
    </row>
    <row r="21" spans="1:4">
      <c r="A21" s="506" t="s">
        <v>1707</v>
      </c>
      <c r="B21" s="512">
        <v>38204</v>
      </c>
      <c r="C21" s="497">
        <v>30</v>
      </c>
      <c r="D21" s="514">
        <v>498.09368401871177</v>
      </c>
    </row>
    <row r="22" spans="1:4">
      <c r="A22" s="506" t="s">
        <v>1708</v>
      </c>
      <c r="B22" s="512">
        <v>38206</v>
      </c>
      <c r="C22" s="497">
        <v>30</v>
      </c>
      <c r="D22" s="514">
        <v>115.8722485002283</v>
      </c>
    </row>
    <row r="23" spans="1:4">
      <c r="A23" s="506" t="s">
        <v>1709</v>
      </c>
      <c r="B23" s="512">
        <v>38209</v>
      </c>
      <c r="C23" s="497">
        <v>30</v>
      </c>
      <c r="D23" s="514">
        <v>5321.049788469486</v>
      </c>
    </row>
    <row r="24" spans="1:4">
      <c r="A24" s="506" t="s">
        <v>1710</v>
      </c>
      <c r="B24" s="512">
        <v>38215</v>
      </c>
      <c r="C24" s="497">
        <v>30</v>
      </c>
      <c r="D24" s="514">
        <v>4785.4279400908399</v>
      </c>
    </row>
    <row r="25" spans="1:4">
      <c r="A25" s="506" t="s">
        <v>1711</v>
      </c>
      <c r="B25" s="512">
        <v>38216</v>
      </c>
      <c r="C25" s="497">
        <v>30</v>
      </c>
      <c r="D25" s="514">
        <v>3153.0345463206431</v>
      </c>
    </row>
    <row r="26" spans="1:4">
      <c r="A26" s="506" t="s">
        <v>1712</v>
      </c>
      <c r="B26" s="512">
        <v>38217</v>
      </c>
      <c r="C26" s="497">
        <v>30</v>
      </c>
      <c r="D26" s="514">
        <v>15380.839004846996</v>
      </c>
    </row>
    <row r="27" spans="1:4">
      <c r="A27" s="506" t="s">
        <v>1713</v>
      </c>
      <c r="B27" s="512">
        <v>38218</v>
      </c>
      <c r="C27" s="497">
        <v>30</v>
      </c>
      <c r="D27" s="514">
        <v>6107.2729466447317</v>
      </c>
    </row>
    <row r="28" spans="1:4">
      <c r="A28" s="506" t="s">
        <v>1714</v>
      </c>
      <c r="B28" s="512">
        <v>38221</v>
      </c>
      <c r="C28" s="497">
        <v>30</v>
      </c>
      <c r="D28" s="514">
        <v>58.073030177329727</v>
      </c>
    </row>
    <row r="29" spans="1:4">
      <c r="A29" s="506" t="s">
        <v>1715</v>
      </c>
      <c r="B29" s="512">
        <v>38225</v>
      </c>
      <c r="C29" s="497">
        <v>30</v>
      </c>
      <c r="D29" s="514">
        <v>11771.35965566909</v>
      </c>
    </row>
    <row r="30" spans="1:4">
      <c r="A30" s="506" t="s">
        <v>1716</v>
      </c>
      <c r="B30" s="512">
        <v>38226</v>
      </c>
      <c r="C30" s="497">
        <v>30</v>
      </c>
      <c r="D30" s="514">
        <v>287.68739572900023</v>
      </c>
    </row>
    <row r="31" spans="1:4">
      <c r="A31" s="506" t="s">
        <v>1717</v>
      </c>
      <c r="B31" s="512">
        <v>38227</v>
      </c>
      <c r="C31" s="497">
        <v>30</v>
      </c>
      <c r="D31" s="514">
        <v>2441.3673038215702</v>
      </c>
    </row>
    <row r="32" spans="1:4">
      <c r="A32" s="506" t="s">
        <v>1718</v>
      </c>
      <c r="B32" s="512">
        <v>38229</v>
      </c>
      <c r="C32" s="497">
        <v>30</v>
      </c>
      <c r="D32" s="514">
        <v>2116.5161201072297</v>
      </c>
    </row>
    <row r="33" spans="1:4">
      <c r="A33" s="506" t="s">
        <v>1719</v>
      </c>
      <c r="B33" s="512">
        <v>38230</v>
      </c>
      <c r="C33" s="497">
        <v>30</v>
      </c>
      <c r="D33" s="514">
        <v>21297.855489511785</v>
      </c>
    </row>
    <row r="34" spans="1:4">
      <c r="A34" s="506" t="s">
        <v>1720</v>
      </c>
      <c r="B34" s="512">
        <v>38231</v>
      </c>
      <c r="C34" s="497">
        <v>30</v>
      </c>
      <c r="D34" s="514">
        <v>2858.1646979097022</v>
      </c>
    </row>
    <row r="35" spans="1:4">
      <c r="A35" s="506" t="s">
        <v>1721</v>
      </c>
      <c r="B35" s="512">
        <v>38235</v>
      </c>
      <c r="C35" s="497">
        <v>30</v>
      </c>
      <c r="D35" s="514">
        <v>552.90769813469331</v>
      </c>
    </row>
    <row r="36" spans="1:4">
      <c r="A36" s="506" t="s">
        <v>1722</v>
      </c>
      <c r="B36" s="512">
        <v>38236</v>
      </c>
      <c r="C36" s="497">
        <v>30</v>
      </c>
      <c r="D36" s="514">
        <v>6670.8588410633865</v>
      </c>
    </row>
    <row r="37" spans="1:4">
      <c r="A37" s="506" t="s">
        <v>1723</v>
      </c>
      <c r="B37" s="512">
        <v>38238</v>
      </c>
      <c r="C37" s="497">
        <v>30</v>
      </c>
      <c r="D37" s="514">
        <v>12538.858854997594</v>
      </c>
    </row>
    <row r="38" spans="1:4">
      <c r="A38" s="506" t="s">
        <v>1724</v>
      </c>
      <c r="B38" s="512">
        <v>38240</v>
      </c>
      <c r="C38" s="497">
        <v>30</v>
      </c>
      <c r="D38" s="514">
        <v>1170.7535726117426</v>
      </c>
    </row>
    <row r="39" spans="1:4">
      <c r="A39" s="506" t="s">
        <v>1725</v>
      </c>
      <c r="B39" s="512">
        <v>38241</v>
      </c>
      <c r="C39" s="497">
        <v>30</v>
      </c>
      <c r="D39" s="514">
        <v>9094.8601553037388</v>
      </c>
    </row>
    <row r="40" spans="1:4">
      <c r="A40" s="506" t="s">
        <v>1726</v>
      </c>
      <c r="B40" s="512">
        <v>38243</v>
      </c>
      <c r="C40" s="497">
        <v>30</v>
      </c>
      <c r="D40" s="514">
        <v>655.58056629703924</v>
      </c>
    </row>
    <row r="41" spans="1:4">
      <c r="A41" s="506" t="s">
        <v>1727</v>
      </c>
      <c r="B41" s="512">
        <v>38244</v>
      </c>
      <c r="C41" s="497">
        <v>30</v>
      </c>
      <c r="D41" s="514">
        <v>25580.389110472577</v>
      </c>
    </row>
    <row r="42" spans="1:4">
      <c r="A42" s="506" t="s">
        <v>1728</v>
      </c>
      <c r="B42" s="512">
        <v>38245</v>
      </c>
      <c r="C42" s="497">
        <v>30</v>
      </c>
      <c r="D42" s="514">
        <v>5267.2725859513266</v>
      </c>
    </row>
    <row r="43" spans="1:4">
      <c r="A43" s="506" t="s">
        <v>1729</v>
      </c>
      <c r="B43" s="512">
        <v>38246</v>
      </c>
      <c r="C43" s="497">
        <v>30</v>
      </c>
      <c r="D43" s="514">
        <v>792.89645448426552</v>
      </c>
    </row>
    <row r="44" spans="1:4">
      <c r="A44" s="506" t="s">
        <v>1730</v>
      </c>
      <c r="B44" s="512">
        <v>38247</v>
      </c>
      <c r="C44" s="497">
        <v>30</v>
      </c>
      <c r="D44" s="514">
        <v>12958.889330184573</v>
      </c>
    </row>
    <row r="45" spans="1:4">
      <c r="A45" s="506" t="s">
        <v>1731</v>
      </c>
      <c r="B45" s="512">
        <v>38248</v>
      </c>
      <c r="C45" s="497">
        <v>30</v>
      </c>
      <c r="D45" s="514">
        <v>233.27785774176346</v>
      </c>
    </row>
    <row r="46" spans="1:4">
      <c r="A46" s="506" t="s">
        <v>1732</v>
      </c>
      <c r="B46" s="512">
        <v>38250</v>
      </c>
      <c r="C46" s="497">
        <v>30</v>
      </c>
      <c r="D46" s="514">
        <v>554.20833057048367</v>
      </c>
    </row>
    <row r="47" spans="1:4">
      <c r="A47" s="506" t="s">
        <v>1733</v>
      </c>
      <c r="B47" s="512">
        <v>38254</v>
      </c>
      <c r="C47" s="497">
        <v>30</v>
      </c>
      <c r="D47" s="514">
        <v>22195.37595197892</v>
      </c>
    </row>
    <row r="48" spans="1:4">
      <c r="A48" s="506" t="s">
        <v>1734</v>
      </c>
      <c r="B48" s="512">
        <v>38255</v>
      </c>
      <c r="C48" s="497">
        <v>30</v>
      </c>
      <c r="D48" s="514">
        <v>1798.2073508471972</v>
      </c>
    </row>
    <row r="49" spans="1:4">
      <c r="A49" s="506" t="s">
        <v>1735</v>
      </c>
      <c r="B49" s="512">
        <v>38258</v>
      </c>
      <c r="C49" s="497">
        <v>30</v>
      </c>
      <c r="D49" s="514">
        <v>8588.4578414886073</v>
      </c>
    </row>
    <row r="50" spans="1:4">
      <c r="A50" s="506" t="s">
        <v>1736</v>
      </c>
      <c r="B50" s="512">
        <v>38259</v>
      </c>
      <c r="C50" s="497">
        <v>30</v>
      </c>
      <c r="D50" s="514">
        <v>458.59593939614223</v>
      </c>
    </row>
    <row r="51" spans="1:4">
      <c r="A51" s="506" t="s">
        <v>1737</v>
      </c>
      <c r="B51" s="512">
        <v>38260</v>
      </c>
      <c r="C51" s="497">
        <v>30</v>
      </c>
      <c r="D51" s="514">
        <v>10160.655678560557</v>
      </c>
    </row>
    <row r="52" spans="1:4">
      <c r="A52" s="506" t="s">
        <v>1738</v>
      </c>
      <c r="B52" s="512">
        <v>38261</v>
      </c>
      <c r="C52" s="497">
        <v>30</v>
      </c>
      <c r="D52" s="514">
        <v>5843.811960082302</v>
      </c>
    </row>
    <row r="53" spans="1:4">
      <c r="A53" s="506" t="s">
        <v>1739</v>
      </c>
      <c r="B53" s="512">
        <v>38262</v>
      </c>
      <c r="C53" s="497">
        <v>30</v>
      </c>
      <c r="D53" s="514">
        <v>6315.8095070357458</v>
      </c>
    </row>
    <row r="54" spans="1:4">
      <c r="A54" s="506" t="s">
        <v>1740</v>
      </c>
      <c r="B54" s="512">
        <v>38264</v>
      </c>
      <c r="C54" s="497">
        <v>30</v>
      </c>
      <c r="D54" s="514">
        <v>970.52732841921841</v>
      </c>
    </row>
    <row r="55" spans="1:4">
      <c r="A55" s="506" t="s">
        <v>1741</v>
      </c>
      <c r="B55" s="512">
        <v>38265</v>
      </c>
      <c r="C55" s="497">
        <v>30</v>
      </c>
      <c r="D55" s="514">
        <v>877.11943642290146</v>
      </c>
    </row>
    <row r="56" spans="1:4">
      <c r="A56" s="506" t="s">
        <v>1742</v>
      </c>
      <c r="B56" s="512">
        <v>38266</v>
      </c>
      <c r="C56" s="497">
        <v>30</v>
      </c>
      <c r="D56" s="514">
        <v>16768.462659077562</v>
      </c>
    </row>
    <row r="57" spans="1:4">
      <c r="A57" s="506" t="s">
        <v>1743</v>
      </c>
      <c r="B57" s="512">
        <v>38268</v>
      </c>
      <c r="C57" s="497">
        <v>30</v>
      </c>
      <c r="D57" s="514">
        <v>60785.929801203267</v>
      </c>
    </row>
    <row r="58" spans="1:4">
      <c r="A58" s="506" t="s">
        <v>1744</v>
      </c>
      <c r="B58" s="512">
        <v>38269</v>
      </c>
      <c r="C58" s="497">
        <v>30</v>
      </c>
      <c r="D58" s="514">
        <v>2445.7655971818349</v>
      </c>
    </row>
    <row r="59" spans="1:4">
      <c r="A59" s="506" t="s">
        <v>1745</v>
      </c>
      <c r="B59" s="512">
        <v>38270</v>
      </c>
      <c r="C59" s="497">
        <v>30</v>
      </c>
      <c r="D59" s="514">
        <v>59234.213348990423</v>
      </c>
    </row>
    <row r="60" spans="1:4">
      <c r="A60" s="506" t="s">
        <v>1746</v>
      </c>
      <c r="B60" s="512">
        <v>38271</v>
      </c>
      <c r="C60" s="497">
        <v>30</v>
      </c>
      <c r="D60" s="514">
        <v>848.676206079655</v>
      </c>
    </row>
    <row r="61" spans="1:4">
      <c r="A61" s="506" t="s">
        <v>1747</v>
      </c>
      <c r="B61" s="512">
        <v>38273</v>
      </c>
      <c r="C61" s="497">
        <v>30</v>
      </c>
      <c r="D61" s="514">
        <v>2230.6654033452514</v>
      </c>
    </row>
    <row r="62" spans="1:4">
      <c r="A62" s="506" t="s">
        <v>1748</v>
      </c>
      <c r="B62" s="512">
        <v>38274</v>
      </c>
      <c r="C62" s="497">
        <v>30</v>
      </c>
      <c r="D62" s="514">
        <v>1089.1560302630671</v>
      </c>
    </row>
    <row r="63" spans="1:4">
      <c r="A63" s="506" t="s">
        <v>1749</v>
      </c>
      <c r="B63" s="512">
        <v>38276</v>
      </c>
      <c r="C63" s="497">
        <v>30</v>
      </c>
      <c r="D63" s="514">
        <v>4539.5648805575756</v>
      </c>
    </row>
    <row r="64" spans="1:4">
      <c r="A64" s="506" t="s">
        <v>1750</v>
      </c>
      <c r="B64" s="512">
        <v>38279</v>
      </c>
      <c r="C64" s="497">
        <v>30</v>
      </c>
      <c r="D64" s="514">
        <v>515.70123534857828</v>
      </c>
    </row>
    <row r="65" spans="1:4">
      <c r="A65" s="506" t="s">
        <v>1751</v>
      </c>
      <c r="B65" s="512">
        <v>38280</v>
      </c>
      <c r="C65" s="497">
        <v>30</v>
      </c>
      <c r="D65" s="514">
        <v>1846.2635283904842</v>
      </c>
    </row>
    <row r="66" spans="1:4">
      <c r="A66" s="506" t="s">
        <v>1752</v>
      </c>
      <c r="B66" s="512">
        <v>38282</v>
      </c>
      <c r="C66" s="497">
        <v>30</v>
      </c>
      <c r="D66" s="514">
        <v>1506.7857457496534</v>
      </c>
    </row>
    <row r="67" spans="1:4">
      <c r="A67" s="506" t="s">
        <v>1753</v>
      </c>
      <c r="B67" s="512">
        <v>38284</v>
      </c>
      <c r="C67" s="497">
        <v>30</v>
      </c>
      <c r="D67" s="514">
        <v>483.84641703621628</v>
      </c>
    </row>
    <row r="68" spans="1:4">
      <c r="A68" s="506" t="s">
        <v>1754</v>
      </c>
      <c r="B68" s="512">
        <v>38286</v>
      </c>
      <c r="C68" s="497">
        <v>30</v>
      </c>
      <c r="D68" s="514">
        <v>615.99620848452116</v>
      </c>
    </row>
    <row r="69" spans="1:4">
      <c r="A69" s="506" t="s">
        <v>1755</v>
      </c>
      <c r="B69" s="512">
        <v>38287</v>
      </c>
      <c r="C69" s="497">
        <v>30</v>
      </c>
      <c r="D69" s="514">
        <v>24202.44264066454</v>
      </c>
    </row>
    <row r="70" spans="1:4">
      <c r="A70" s="506" t="s">
        <v>1756</v>
      </c>
      <c r="B70" s="512">
        <v>38290</v>
      </c>
      <c r="C70" s="497">
        <v>30</v>
      </c>
      <c r="D70" s="514">
        <v>32257.197218509969</v>
      </c>
    </row>
    <row r="71" spans="1:4">
      <c r="A71" s="506" t="s">
        <v>1757</v>
      </c>
      <c r="B71" s="512">
        <v>38292</v>
      </c>
      <c r="C71" s="497">
        <v>30</v>
      </c>
      <c r="D71" s="514">
        <v>2031.7490489343384</v>
      </c>
    </row>
    <row r="72" spans="1:4">
      <c r="A72" s="506" t="s">
        <v>1758</v>
      </c>
      <c r="B72" s="512">
        <v>38294</v>
      </c>
      <c r="C72" s="497">
        <v>30</v>
      </c>
      <c r="D72" s="514">
        <v>8200.0098952588505</v>
      </c>
    </row>
    <row r="73" spans="1:4">
      <c r="A73" s="506" t="s">
        <v>1759</v>
      </c>
      <c r="B73" s="512">
        <v>38295</v>
      </c>
      <c r="C73" s="497">
        <v>30</v>
      </c>
      <c r="D73" s="514">
        <v>190.93247376422957</v>
      </c>
    </row>
    <row r="74" spans="1:4">
      <c r="A74" s="506" t="s">
        <v>1760</v>
      </c>
      <c r="B74" s="512">
        <v>38297</v>
      </c>
      <c r="C74" s="497">
        <v>30</v>
      </c>
      <c r="D74" s="514">
        <v>2990.0501346706978</v>
      </c>
    </row>
    <row r="75" spans="1:4">
      <c r="A75" s="506" t="s">
        <v>1761</v>
      </c>
      <c r="B75" s="512">
        <v>38299</v>
      </c>
      <c r="C75" s="497">
        <v>30</v>
      </c>
      <c r="D75" s="514">
        <v>21162.586968729735</v>
      </c>
    </row>
    <row r="76" spans="1:4">
      <c r="A76" s="506" t="s">
        <v>1762</v>
      </c>
      <c r="B76" s="512">
        <v>38305</v>
      </c>
      <c r="C76" s="497">
        <v>30</v>
      </c>
      <c r="D76" s="514">
        <v>1553.3688585488749</v>
      </c>
    </row>
    <row r="77" spans="1:4">
      <c r="A77" s="506" t="s">
        <v>1763</v>
      </c>
      <c r="B77" s="512">
        <v>38309</v>
      </c>
      <c r="C77" s="497">
        <v>30</v>
      </c>
      <c r="D77" s="514">
        <v>565.21190469212411</v>
      </c>
    </row>
    <row r="78" spans="1:4">
      <c r="A78" s="506" t="s">
        <v>1764</v>
      </c>
      <c r="B78" s="512">
        <v>38315</v>
      </c>
      <c r="C78" s="497">
        <v>30</v>
      </c>
      <c r="D78" s="514">
        <v>106.07581103052694</v>
      </c>
    </row>
    <row r="79" spans="1:4">
      <c r="A79" s="506" t="s">
        <v>1765</v>
      </c>
      <c r="B79" s="512">
        <v>38316</v>
      </c>
      <c r="C79" s="497">
        <v>30</v>
      </c>
      <c r="D79" s="514">
        <v>2429.2765557497669</v>
      </c>
    </row>
    <row r="80" spans="1:4">
      <c r="A80" s="506" t="s">
        <v>1766</v>
      </c>
      <c r="B80" s="512">
        <v>38317</v>
      </c>
      <c r="C80" s="497">
        <v>30</v>
      </c>
      <c r="D80" s="514">
        <v>55138.003133451253</v>
      </c>
    </row>
    <row r="81" spans="1:4">
      <c r="A81" s="506" t="s">
        <v>1767</v>
      </c>
      <c r="B81" s="512">
        <v>38318</v>
      </c>
      <c r="C81" s="497">
        <v>30</v>
      </c>
      <c r="D81" s="514">
        <v>8843.7583857776608</v>
      </c>
    </row>
    <row r="82" spans="1:4">
      <c r="A82" s="506" t="s">
        <v>1768</v>
      </c>
      <c r="B82" s="512">
        <v>38322</v>
      </c>
      <c r="C82" s="497">
        <v>30</v>
      </c>
      <c r="D82" s="514">
        <v>814.12962190183407</v>
      </c>
    </row>
    <row r="83" spans="1:4">
      <c r="A83" s="506" t="s">
        <v>1769</v>
      </c>
      <c r="B83" s="512">
        <v>38324</v>
      </c>
      <c r="C83" s="497">
        <v>30</v>
      </c>
      <c r="D83" s="514">
        <v>29698.370567780163</v>
      </c>
    </row>
    <row r="84" spans="1:4">
      <c r="A84" s="506" t="s">
        <v>1770</v>
      </c>
      <c r="B84" s="512">
        <v>38331</v>
      </c>
      <c r="C84" s="497">
        <v>30</v>
      </c>
      <c r="D84" s="514">
        <v>22449.279006530487</v>
      </c>
    </row>
    <row r="85" spans="1:4">
      <c r="A85" s="506" t="s">
        <v>1771</v>
      </c>
      <c r="B85" s="512">
        <v>38332</v>
      </c>
      <c r="C85" s="497">
        <v>30</v>
      </c>
      <c r="D85" s="514">
        <v>20411.320125130223</v>
      </c>
    </row>
    <row r="86" spans="1:4">
      <c r="A86" s="506" t="s">
        <v>1772</v>
      </c>
      <c r="B86" s="512">
        <v>38335</v>
      </c>
      <c r="C86" s="497">
        <v>30</v>
      </c>
      <c r="D86" s="514">
        <v>849.46187491145247</v>
      </c>
    </row>
    <row r="87" spans="1:4">
      <c r="A87" s="506" t="s">
        <v>1773</v>
      </c>
      <c r="B87" s="512">
        <v>38337</v>
      </c>
      <c r="C87" s="497">
        <v>30</v>
      </c>
      <c r="D87" s="514">
        <v>6787.0908092741583</v>
      </c>
    </row>
    <row r="88" spans="1:4">
      <c r="A88" s="506" t="s">
        <v>1774</v>
      </c>
      <c r="B88" s="512">
        <v>38338</v>
      </c>
      <c r="C88" s="497">
        <v>30</v>
      </c>
      <c r="D88" s="514">
        <v>2661.3425118441723</v>
      </c>
    </row>
    <row r="89" spans="1:4">
      <c r="A89" s="506" t="s">
        <v>1775</v>
      </c>
      <c r="B89" s="512">
        <v>38343</v>
      </c>
      <c r="C89" s="497">
        <v>30</v>
      </c>
      <c r="D89" s="514">
        <v>840.44949214419194</v>
      </c>
    </row>
    <row r="90" spans="1:4">
      <c r="A90" s="506" t="s">
        <v>1776</v>
      </c>
      <c r="B90" s="512">
        <v>38344</v>
      </c>
      <c r="C90" s="497">
        <v>30</v>
      </c>
      <c r="D90" s="514">
        <v>14292.212662104201</v>
      </c>
    </row>
    <row r="91" spans="1:4">
      <c r="A91" s="506" t="s">
        <v>1777</v>
      </c>
      <c r="B91" s="512">
        <v>38345</v>
      </c>
      <c r="C91" s="497">
        <v>30</v>
      </c>
      <c r="D91" s="514">
        <v>2838.280014957546</v>
      </c>
    </row>
    <row r="92" spans="1:4">
      <c r="A92" s="506" t="s">
        <v>1778</v>
      </c>
      <c r="B92" s="512">
        <v>38346</v>
      </c>
      <c r="C92" s="497">
        <v>30</v>
      </c>
      <c r="D92" s="514">
        <v>8652.9370815876882</v>
      </c>
    </row>
    <row r="93" spans="1:4">
      <c r="A93" s="506" t="s">
        <v>1779</v>
      </c>
      <c r="B93" s="512">
        <v>38351</v>
      </c>
      <c r="C93" s="497">
        <v>30</v>
      </c>
      <c r="D93" s="514">
        <v>22518.650683386277</v>
      </c>
    </row>
    <row r="94" spans="1:4">
      <c r="A94" s="506" t="s">
        <v>1780</v>
      </c>
      <c r="B94" s="512">
        <v>38355</v>
      </c>
      <c r="C94" s="497">
        <v>30</v>
      </c>
      <c r="D94" s="514">
        <v>88.942812858987907</v>
      </c>
    </row>
    <row r="95" spans="1:4">
      <c r="A95" s="506" t="s">
        <v>1781</v>
      </c>
      <c r="B95" s="512">
        <v>38357</v>
      </c>
      <c r="C95" s="497">
        <v>30</v>
      </c>
      <c r="D95" s="514">
        <v>27216.993949697498</v>
      </c>
    </row>
    <row r="96" spans="1:4">
      <c r="A96" s="506" t="s">
        <v>1782</v>
      </c>
      <c r="B96" s="512">
        <v>38360</v>
      </c>
      <c r="C96" s="497">
        <v>30</v>
      </c>
      <c r="D96" s="514">
        <v>124.61769288806747</v>
      </c>
    </row>
    <row r="97" spans="1:4">
      <c r="A97" s="506" t="s">
        <v>1783</v>
      </c>
      <c r="B97" s="512">
        <v>38362</v>
      </c>
      <c r="C97" s="497">
        <v>30</v>
      </c>
      <c r="D97" s="514">
        <v>12536.835054670637</v>
      </c>
    </row>
    <row r="98" spans="1:4">
      <c r="A98" s="506" t="s">
        <v>1784</v>
      </c>
      <c r="B98" s="512">
        <v>38367</v>
      </c>
      <c r="C98" s="497">
        <v>30</v>
      </c>
      <c r="D98" s="514">
        <v>1045.5395179930504</v>
      </c>
    </row>
    <row r="99" spans="1:4">
      <c r="A99" s="506" t="s">
        <v>1785</v>
      </c>
      <c r="B99" s="512">
        <v>38370</v>
      </c>
      <c r="C99" s="497">
        <v>30</v>
      </c>
      <c r="D99" s="514">
        <v>18067.64369914401</v>
      </c>
    </row>
    <row r="100" spans="1:4">
      <c r="A100" s="506" t="s">
        <v>1786</v>
      </c>
      <c r="B100" s="512">
        <v>38387</v>
      </c>
      <c r="C100" s="497">
        <v>30</v>
      </c>
      <c r="D100" s="514">
        <v>1239.4348885526044</v>
      </c>
    </row>
    <row r="101" spans="1:4">
      <c r="A101" s="506" t="s">
        <v>1787</v>
      </c>
      <c r="B101" s="512">
        <v>38397</v>
      </c>
      <c r="C101" s="497">
        <v>30</v>
      </c>
      <c r="D101" s="514">
        <v>9250.322092232851</v>
      </c>
    </row>
    <row r="102" spans="1:4">
      <c r="A102" s="506" t="s">
        <v>1788</v>
      </c>
      <c r="B102" s="512">
        <v>38400</v>
      </c>
      <c r="C102" s="497">
        <v>30</v>
      </c>
      <c r="D102" s="514">
        <v>12051.834122947694</v>
      </c>
    </row>
    <row r="103" spans="1:4">
      <c r="A103" s="506" t="s">
        <v>1789</v>
      </c>
      <c r="B103" s="512">
        <v>38402</v>
      </c>
      <c r="C103" s="497">
        <v>30</v>
      </c>
      <c r="D103" s="514">
        <v>18036.991790082946</v>
      </c>
    </row>
    <row r="104" spans="1:4">
      <c r="A104" s="506" t="s">
        <v>1790</v>
      </c>
      <c r="B104" s="512">
        <v>38411</v>
      </c>
      <c r="C104" s="497">
        <v>30</v>
      </c>
      <c r="D104" s="514">
        <v>6581.1944737996882</v>
      </c>
    </row>
    <row r="105" spans="1:4">
      <c r="A105" s="506" t="s">
        <v>1791</v>
      </c>
      <c r="B105" s="512">
        <v>38418</v>
      </c>
      <c r="C105" s="497">
        <v>30</v>
      </c>
      <c r="D105" s="514">
        <v>622.66038218374183</v>
      </c>
    </row>
    <row r="106" spans="1:4">
      <c r="A106" s="506" t="s">
        <v>1792</v>
      </c>
      <c r="B106" s="512">
        <v>38419</v>
      </c>
      <c r="C106" s="497">
        <v>30</v>
      </c>
      <c r="D106" s="514">
        <v>5365.2765741627827</v>
      </c>
    </row>
    <row r="107" spans="1:4">
      <c r="A107" s="506" t="s">
        <v>1793</v>
      </c>
      <c r="B107" s="512">
        <v>38433</v>
      </c>
      <c r="C107" s="497">
        <v>30</v>
      </c>
      <c r="D107" s="514">
        <v>18242.467236927052</v>
      </c>
    </row>
    <row r="108" spans="1:4">
      <c r="A108" s="506" t="s">
        <v>1794</v>
      </c>
      <c r="B108" s="512">
        <v>38434</v>
      </c>
      <c r="C108" s="497">
        <v>30</v>
      </c>
      <c r="D108" s="514">
        <v>1852.1321594705755</v>
      </c>
    </row>
    <row r="109" spans="1:4">
      <c r="A109" s="506" t="s">
        <v>1795</v>
      </c>
      <c r="B109" s="512">
        <v>38436</v>
      </c>
      <c r="C109" s="497">
        <v>30</v>
      </c>
      <c r="D109" s="514">
        <v>1933.1431364440914</v>
      </c>
    </row>
    <row r="110" spans="1:4">
      <c r="A110" s="506" t="s">
        <v>1796</v>
      </c>
      <c r="B110" s="512">
        <v>38441</v>
      </c>
      <c r="C110" s="497">
        <v>30</v>
      </c>
      <c r="D110" s="514">
        <v>1009.3632071535969</v>
      </c>
    </row>
    <row r="111" spans="1:4">
      <c r="A111" s="506" t="s">
        <v>1797</v>
      </c>
      <c r="B111" s="512">
        <v>38442</v>
      </c>
      <c r="C111" s="497">
        <v>30</v>
      </c>
      <c r="D111" s="514">
        <v>12625.566993320277</v>
      </c>
    </row>
    <row r="112" spans="1:4">
      <c r="A112" s="506" t="s">
        <v>1798</v>
      </c>
      <c r="B112" s="512">
        <v>38776</v>
      </c>
      <c r="C112" s="497">
        <v>30</v>
      </c>
      <c r="D112" s="514">
        <v>4359230.2045225408</v>
      </c>
    </row>
    <row r="113" spans="1:4">
      <c r="A113" s="506" t="s">
        <v>1799</v>
      </c>
      <c r="B113" s="512">
        <v>39142</v>
      </c>
      <c r="C113" s="497">
        <v>30</v>
      </c>
      <c r="D113" s="514">
        <v>17258465.565565389</v>
      </c>
    </row>
    <row r="114" spans="1:4">
      <c r="A114" s="506" t="s">
        <v>1800</v>
      </c>
      <c r="B114" s="512">
        <v>39367</v>
      </c>
      <c r="C114" s="497">
        <v>30</v>
      </c>
      <c r="D114" s="514">
        <v>5850072.366901719</v>
      </c>
    </row>
    <row r="115" spans="1:4">
      <c r="A115" s="506" t="s">
        <v>1801</v>
      </c>
      <c r="B115" s="512">
        <v>39507</v>
      </c>
      <c r="C115" s="497">
        <v>30</v>
      </c>
      <c r="D115" s="514">
        <v>5219673.9955995679</v>
      </c>
    </row>
    <row r="116" spans="1:4">
      <c r="A116" s="506" t="s">
        <v>1802</v>
      </c>
      <c r="B116" s="512">
        <v>39843</v>
      </c>
      <c r="C116" s="497">
        <v>30</v>
      </c>
      <c r="D116" s="514">
        <v>14333382.707046797</v>
      </c>
    </row>
    <row r="117" spans="1:4">
      <c r="A117" s="506" t="s">
        <v>1803</v>
      </c>
      <c r="B117" s="512">
        <v>39933</v>
      </c>
      <c r="C117" s="497">
        <v>30</v>
      </c>
      <c r="D117" s="514">
        <v>0.42188850967007963</v>
      </c>
    </row>
    <row r="118" spans="1:4">
      <c r="A118" s="506" t="s">
        <v>1804</v>
      </c>
      <c r="B118" s="512">
        <v>40041</v>
      </c>
      <c r="C118" s="497">
        <v>30</v>
      </c>
      <c r="D118" s="514">
        <v>6026373.0206867531</v>
      </c>
    </row>
    <row r="119" spans="1:4">
      <c r="A119" s="506" t="s">
        <v>1805</v>
      </c>
      <c r="B119" s="512">
        <v>40075</v>
      </c>
      <c r="C119" s="497">
        <v>30</v>
      </c>
      <c r="D119" s="514">
        <v>710843.84495525935</v>
      </c>
    </row>
    <row r="120" spans="1:4">
      <c r="A120" s="506" t="s">
        <v>1806</v>
      </c>
      <c r="B120" s="512">
        <v>40189</v>
      </c>
      <c r="C120" s="497">
        <v>30</v>
      </c>
      <c r="D120" s="514">
        <v>103088.95170181725</v>
      </c>
    </row>
    <row r="121" spans="1:4">
      <c r="A121" s="506" t="s">
        <v>1807</v>
      </c>
      <c r="B121" s="512">
        <v>40225</v>
      </c>
      <c r="C121" s="497">
        <v>30</v>
      </c>
      <c r="D121" s="514">
        <v>12870191.25829991</v>
      </c>
    </row>
    <row r="122" spans="1:4">
      <c r="A122" s="507" t="s">
        <v>1808</v>
      </c>
      <c r="B122" s="512">
        <v>40226</v>
      </c>
      <c r="C122" s="497">
        <v>30</v>
      </c>
      <c r="D122" s="514">
        <v>73485920.569979012</v>
      </c>
    </row>
    <row r="123" spans="1:4">
      <c r="A123" s="506" t="s">
        <v>1809</v>
      </c>
      <c r="B123" s="512">
        <v>40329</v>
      </c>
      <c r="C123" s="497">
        <v>30</v>
      </c>
      <c r="D123" s="514">
        <v>8899670.0666042045</v>
      </c>
    </row>
    <row r="124" spans="1:4">
      <c r="A124" s="507" t="s">
        <v>1810</v>
      </c>
      <c r="B124" s="512">
        <v>40575</v>
      </c>
      <c r="C124" s="497">
        <v>60</v>
      </c>
      <c r="D124" s="514">
        <v>49640975.691511258</v>
      </c>
    </row>
    <row r="125" spans="1:4">
      <c r="A125" s="507" t="s">
        <v>1811</v>
      </c>
      <c r="B125" s="512">
        <v>40602</v>
      </c>
      <c r="C125" s="497">
        <v>60</v>
      </c>
      <c r="D125" s="514">
        <v>7006283.2955679949</v>
      </c>
    </row>
    <row r="126" spans="1:4">
      <c r="A126" s="506" t="s">
        <v>1812</v>
      </c>
      <c r="B126" s="512">
        <v>40602</v>
      </c>
      <c r="C126" s="497">
        <v>30</v>
      </c>
      <c r="D126" s="514">
        <v>21996734.433555499</v>
      </c>
    </row>
    <row r="127" spans="1:4">
      <c r="A127" s="507" t="s">
        <v>1813</v>
      </c>
      <c r="B127" s="512">
        <v>40633</v>
      </c>
      <c r="C127" s="497">
        <v>10</v>
      </c>
      <c r="D127" s="514">
        <v>207227.57486653939</v>
      </c>
    </row>
    <row r="128" spans="1:4">
      <c r="A128" s="507" t="s">
        <v>1814</v>
      </c>
      <c r="B128" s="512">
        <v>40633</v>
      </c>
      <c r="C128" s="497">
        <v>30</v>
      </c>
      <c r="D128" s="514">
        <v>64537202.886896066</v>
      </c>
    </row>
    <row r="129" spans="1:4">
      <c r="A129" s="507" t="s">
        <v>1815</v>
      </c>
      <c r="B129" s="512">
        <v>40902</v>
      </c>
      <c r="C129" s="497">
        <v>10</v>
      </c>
      <c r="D129" s="514">
        <v>31605.376700305802</v>
      </c>
    </row>
    <row r="130" spans="1:4">
      <c r="A130" s="507" t="s">
        <v>1816</v>
      </c>
      <c r="B130" s="512">
        <v>40902</v>
      </c>
      <c r="C130" s="497">
        <v>30</v>
      </c>
      <c r="D130" s="514">
        <v>93930606.70460932</v>
      </c>
    </row>
    <row r="131" spans="1:4">
      <c r="A131" s="507" t="s">
        <v>1816</v>
      </c>
      <c r="B131" s="512">
        <v>40923</v>
      </c>
      <c r="C131" s="497">
        <v>30</v>
      </c>
      <c r="D131" s="514">
        <v>81626572.072248533</v>
      </c>
    </row>
    <row r="132" spans="1:4">
      <c r="A132" s="507" t="s">
        <v>1817</v>
      </c>
      <c r="B132" s="512">
        <v>40999</v>
      </c>
      <c r="C132" s="497">
        <v>10</v>
      </c>
      <c r="D132" s="514">
        <v>4579409.86596963</v>
      </c>
    </row>
    <row r="133" spans="1:4">
      <c r="A133" s="507" t="s">
        <v>1818</v>
      </c>
      <c r="B133" s="512">
        <v>41000</v>
      </c>
      <c r="C133" s="497">
        <v>60</v>
      </c>
      <c r="D133" s="514">
        <v>523452.80250000011</v>
      </c>
    </row>
    <row r="134" spans="1:4">
      <c r="A134" s="507" t="s">
        <v>1818</v>
      </c>
      <c r="B134" s="512">
        <v>41027</v>
      </c>
      <c r="C134" s="497">
        <v>60</v>
      </c>
      <c r="D134" s="514">
        <v>2899334.8534608856</v>
      </c>
    </row>
    <row r="135" spans="1:4">
      <c r="A135" s="506" t="s">
        <v>1819</v>
      </c>
      <c r="B135" s="512">
        <v>41315</v>
      </c>
      <c r="C135" s="497">
        <v>30</v>
      </c>
      <c r="D135" s="514">
        <v>18287272.780694183</v>
      </c>
    </row>
    <row r="136" spans="1:4">
      <c r="A136" s="506" t="s">
        <v>1820</v>
      </c>
      <c r="B136" s="512">
        <v>41339</v>
      </c>
      <c r="C136" s="497">
        <v>30</v>
      </c>
      <c r="D136" s="514">
        <v>86424154.129812121</v>
      </c>
    </row>
    <row r="137" spans="1:4">
      <c r="A137" s="506" t="s">
        <v>1821</v>
      </c>
      <c r="B137" s="512">
        <v>41365</v>
      </c>
      <c r="C137" s="497">
        <v>30</v>
      </c>
      <c r="D137" s="514">
        <v>776217.13204482757</v>
      </c>
    </row>
    <row r="138" spans="1:4">
      <c r="A138" s="507" t="s">
        <v>1822</v>
      </c>
      <c r="B138" s="512">
        <v>41605</v>
      </c>
      <c r="C138" s="497">
        <v>10</v>
      </c>
      <c r="D138" s="514">
        <v>589858.71288271353</v>
      </c>
    </row>
    <row r="139" spans="1:4">
      <c r="A139" s="507" t="s">
        <v>1823</v>
      </c>
      <c r="B139" s="512">
        <v>41656</v>
      </c>
      <c r="C139" s="497">
        <v>30</v>
      </c>
      <c r="D139" s="514">
        <v>19291393.2049249</v>
      </c>
    </row>
    <row r="140" spans="1:4">
      <c r="A140" s="507" t="s">
        <v>1824</v>
      </c>
      <c r="B140" s="512">
        <v>41729</v>
      </c>
      <c r="C140" s="497">
        <v>30</v>
      </c>
      <c r="D140" s="514">
        <v>13241945.104083747</v>
      </c>
    </row>
    <row r="141" spans="1:4">
      <c r="A141" s="507" t="s">
        <v>1816</v>
      </c>
      <c r="B141" s="512">
        <v>41729</v>
      </c>
      <c r="C141" s="497">
        <v>30</v>
      </c>
      <c r="D141" s="514">
        <v>57439634.532497376</v>
      </c>
    </row>
    <row r="142" spans="1:4">
      <c r="A142" s="507" t="s">
        <v>1825</v>
      </c>
      <c r="B142" s="512">
        <v>41729</v>
      </c>
      <c r="C142" s="497">
        <v>30</v>
      </c>
      <c r="D142" s="514">
        <v>127051.54205376891</v>
      </c>
    </row>
    <row r="143" spans="1:4">
      <c r="A143" s="507" t="s">
        <v>1816</v>
      </c>
      <c r="B143" s="512">
        <v>42088</v>
      </c>
      <c r="C143" s="497">
        <v>30</v>
      </c>
      <c r="D143" s="514">
        <v>139591166.84232873</v>
      </c>
    </row>
    <row r="147" spans="1:4" ht="23.25">
      <c r="A147" s="1433" t="s">
        <v>1833</v>
      </c>
      <c r="B147" s="1433"/>
      <c r="C147" s="1433"/>
      <c r="D147" s="527"/>
    </row>
    <row r="149" spans="1:4" ht="27.75" customHeight="1">
      <c r="A149" s="515" t="s">
        <v>1689</v>
      </c>
      <c r="B149" s="515" t="s">
        <v>1826</v>
      </c>
      <c r="C149" s="515" t="s">
        <v>1828</v>
      </c>
      <c r="D149" s="517">
        <v>3926764.960120861</v>
      </c>
    </row>
    <row r="150" spans="1:4" ht="102" hidden="1">
      <c r="A150" s="519" t="s">
        <v>1690</v>
      </c>
      <c r="B150" s="520" t="s">
        <v>1827</v>
      </c>
      <c r="C150" s="519" t="s">
        <v>1829</v>
      </c>
      <c r="D150" s="518" t="s">
        <v>1830</v>
      </c>
    </row>
    <row r="151" spans="1:4">
      <c r="A151" s="516" t="s">
        <v>1831</v>
      </c>
      <c r="B151" s="522">
        <v>38991</v>
      </c>
      <c r="C151" s="523">
        <v>10</v>
      </c>
      <c r="D151" s="524">
        <v>45</v>
      </c>
    </row>
    <row r="152" spans="1:4">
      <c r="A152" s="516" t="s">
        <v>1831</v>
      </c>
      <c r="B152" s="522">
        <v>38991</v>
      </c>
      <c r="C152" s="523">
        <v>10</v>
      </c>
      <c r="D152" s="524">
        <v>106.40000000000009</v>
      </c>
    </row>
    <row r="153" spans="1:4">
      <c r="A153" s="516" t="s">
        <v>1831</v>
      </c>
      <c r="B153" s="522">
        <v>38991</v>
      </c>
      <c r="C153" s="523">
        <v>10</v>
      </c>
      <c r="D153" s="524">
        <v>17.400000000000006</v>
      </c>
    </row>
    <row r="154" spans="1:4">
      <c r="A154" s="516" t="s">
        <v>1831</v>
      </c>
      <c r="B154" s="522">
        <v>38991</v>
      </c>
      <c r="C154" s="523">
        <v>10</v>
      </c>
      <c r="D154" s="524">
        <v>7.5</v>
      </c>
    </row>
    <row r="155" spans="1:4">
      <c r="A155" s="516" t="s">
        <v>1831</v>
      </c>
      <c r="B155" s="522">
        <v>38991</v>
      </c>
      <c r="C155" s="523">
        <v>10</v>
      </c>
      <c r="D155" s="524">
        <v>240</v>
      </c>
    </row>
    <row r="156" spans="1:4">
      <c r="A156" s="516" t="s">
        <v>1831</v>
      </c>
      <c r="B156" s="522">
        <v>38991</v>
      </c>
      <c r="C156" s="523">
        <v>10</v>
      </c>
      <c r="D156" s="524">
        <v>20.189999999999998</v>
      </c>
    </row>
    <row r="157" spans="1:4">
      <c r="A157" s="516" t="s">
        <v>1831</v>
      </c>
      <c r="B157" s="522">
        <v>38991</v>
      </c>
      <c r="C157" s="523">
        <v>10</v>
      </c>
      <c r="D157" s="524">
        <v>273.90000000000009</v>
      </c>
    </row>
    <row r="158" spans="1:4">
      <c r="A158" s="516" t="s">
        <v>1831</v>
      </c>
      <c r="B158" s="522">
        <v>38991</v>
      </c>
      <c r="C158" s="523">
        <v>10</v>
      </c>
      <c r="D158" s="524">
        <v>80</v>
      </c>
    </row>
    <row r="159" spans="1:4">
      <c r="A159" s="516" t="s">
        <v>1831</v>
      </c>
      <c r="B159" s="522">
        <v>38991</v>
      </c>
      <c r="C159" s="523">
        <v>10</v>
      </c>
      <c r="D159" s="524">
        <v>81.799999999999955</v>
      </c>
    </row>
    <row r="160" spans="1:4">
      <c r="A160" s="516" t="s">
        <v>1831</v>
      </c>
      <c r="B160" s="522">
        <v>38991</v>
      </c>
      <c r="C160" s="523">
        <v>10</v>
      </c>
      <c r="D160" s="524">
        <v>88</v>
      </c>
    </row>
    <row r="161" spans="1:4">
      <c r="A161" s="516" t="s">
        <v>1831</v>
      </c>
      <c r="B161" s="522">
        <v>38991</v>
      </c>
      <c r="C161" s="523">
        <v>10</v>
      </c>
      <c r="D161" s="524">
        <v>150</v>
      </c>
    </row>
    <row r="162" spans="1:4">
      <c r="A162" s="516" t="s">
        <v>1831</v>
      </c>
      <c r="B162" s="522">
        <v>38991</v>
      </c>
      <c r="C162" s="523">
        <v>10</v>
      </c>
      <c r="D162" s="524">
        <v>120</v>
      </c>
    </row>
    <row r="163" spans="1:4">
      <c r="A163" s="516" t="s">
        <v>1831</v>
      </c>
      <c r="B163" s="522">
        <v>38991</v>
      </c>
      <c r="C163" s="523">
        <v>10</v>
      </c>
      <c r="D163" s="524">
        <v>24</v>
      </c>
    </row>
    <row r="164" spans="1:4">
      <c r="A164" s="516" t="s">
        <v>1831</v>
      </c>
      <c r="B164" s="522">
        <v>38991</v>
      </c>
      <c r="C164" s="523">
        <v>10</v>
      </c>
      <c r="D164" s="524">
        <v>355</v>
      </c>
    </row>
    <row r="165" spans="1:4">
      <c r="A165" s="516" t="s">
        <v>1831</v>
      </c>
      <c r="B165" s="522">
        <v>38991</v>
      </c>
      <c r="C165" s="523">
        <v>10</v>
      </c>
      <c r="D165" s="524">
        <v>28.660000000000025</v>
      </c>
    </row>
    <row r="166" spans="1:4">
      <c r="A166" s="516" t="s">
        <v>1831</v>
      </c>
      <c r="B166" s="522">
        <v>38991</v>
      </c>
      <c r="C166" s="523">
        <v>10</v>
      </c>
      <c r="D166" s="524">
        <v>145.97000000000003</v>
      </c>
    </row>
    <row r="167" spans="1:4">
      <c r="A167" s="516" t="s">
        <v>1831</v>
      </c>
      <c r="B167" s="522">
        <v>38991</v>
      </c>
      <c r="C167" s="523">
        <v>10</v>
      </c>
      <c r="D167" s="524">
        <v>230.63000000000011</v>
      </c>
    </row>
    <row r="168" spans="1:4">
      <c r="A168" s="516" t="s">
        <v>1831</v>
      </c>
      <c r="B168" s="522">
        <v>38991</v>
      </c>
      <c r="C168" s="523">
        <v>10</v>
      </c>
      <c r="D168" s="524">
        <v>156.38000000000011</v>
      </c>
    </row>
    <row r="169" spans="1:4">
      <c r="A169" s="516" t="s">
        <v>1831</v>
      </c>
      <c r="B169" s="522">
        <v>38991</v>
      </c>
      <c r="C169" s="523">
        <v>10</v>
      </c>
      <c r="D169" s="524">
        <v>79</v>
      </c>
    </row>
    <row r="170" spans="1:4">
      <c r="A170" s="516" t="s">
        <v>1832</v>
      </c>
      <c r="B170" s="522">
        <v>38991</v>
      </c>
      <c r="C170" s="523">
        <v>10</v>
      </c>
      <c r="D170" s="524">
        <v>10</v>
      </c>
    </row>
    <row r="171" spans="1:4">
      <c r="A171" s="516" t="s">
        <v>1832</v>
      </c>
      <c r="B171" s="522">
        <v>38991</v>
      </c>
      <c r="C171" s="523">
        <v>10</v>
      </c>
      <c r="D171" s="524">
        <v>49.5</v>
      </c>
    </row>
    <row r="172" spans="1:4">
      <c r="A172" s="516" t="s">
        <v>1832</v>
      </c>
      <c r="B172" s="522">
        <v>38991</v>
      </c>
      <c r="C172" s="523">
        <v>10</v>
      </c>
      <c r="D172" s="524">
        <v>74</v>
      </c>
    </row>
    <row r="173" spans="1:4">
      <c r="A173" s="516" t="s">
        <v>1832</v>
      </c>
      <c r="B173" s="522">
        <v>38991</v>
      </c>
      <c r="C173" s="523">
        <v>10</v>
      </c>
      <c r="D173" s="524">
        <v>55</v>
      </c>
    </row>
    <row r="174" spans="1:4">
      <c r="A174" s="516" t="s">
        <v>1832</v>
      </c>
      <c r="B174" s="522">
        <v>38991</v>
      </c>
      <c r="C174" s="523">
        <v>10</v>
      </c>
      <c r="D174" s="524">
        <v>35</v>
      </c>
    </row>
    <row r="175" spans="1:4">
      <c r="A175" s="516" t="s">
        <v>1832</v>
      </c>
      <c r="B175" s="522">
        <v>38991</v>
      </c>
      <c r="C175" s="523">
        <v>10</v>
      </c>
      <c r="D175" s="524">
        <v>90.5</v>
      </c>
    </row>
    <row r="176" spans="1:4">
      <c r="A176" s="516" t="s">
        <v>1831</v>
      </c>
      <c r="B176" s="522">
        <v>39499</v>
      </c>
      <c r="C176" s="523">
        <v>10</v>
      </c>
      <c r="D176" s="524">
        <v>3885.2140183224228</v>
      </c>
    </row>
    <row r="177" spans="1:4">
      <c r="A177" s="516" t="s">
        <v>1831</v>
      </c>
      <c r="B177" s="522">
        <v>39431</v>
      </c>
      <c r="C177" s="523">
        <v>10</v>
      </c>
      <c r="D177" s="524">
        <v>3082.6298170077416</v>
      </c>
    </row>
    <row r="178" spans="1:4">
      <c r="A178" s="516" t="s">
        <v>1831</v>
      </c>
      <c r="B178" s="522">
        <v>39441</v>
      </c>
      <c r="C178" s="523">
        <v>10</v>
      </c>
      <c r="D178" s="524">
        <v>8415.2055116945721</v>
      </c>
    </row>
    <row r="179" spans="1:4">
      <c r="A179" s="516" t="s">
        <v>1831</v>
      </c>
      <c r="B179" s="522">
        <v>39184</v>
      </c>
      <c r="C179" s="523">
        <v>10</v>
      </c>
      <c r="D179" s="524">
        <v>432.87922805561266</v>
      </c>
    </row>
    <row r="180" spans="1:4">
      <c r="A180" s="516" t="s">
        <v>1831</v>
      </c>
      <c r="B180" s="522">
        <v>39197</v>
      </c>
      <c r="C180" s="523">
        <v>10</v>
      </c>
      <c r="D180" s="524">
        <v>1894.19245637938</v>
      </c>
    </row>
    <row r="181" spans="1:4">
      <c r="A181" s="516" t="s">
        <v>1831</v>
      </c>
      <c r="B181" s="522">
        <v>39332</v>
      </c>
      <c r="C181" s="523">
        <v>10</v>
      </c>
      <c r="D181" s="524">
        <v>16716.558314656053</v>
      </c>
    </row>
    <row r="182" spans="1:4">
      <c r="A182" s="516" t="s">
        <v>1831</v>
      </c>
      <c r="B182" s="522">
        <v>39396</v>
      </c>
      <c r="C182" s="523">
        <v>10</v>
      </c>
      <c r="D182" s="524">
        <v>9244.5506007512649</v>
      </c>
    </row>
    <row r="183" spans="1:4">
      <c r="A183" s="516" t="s">
        <v>1831</v>
      </c>
      <c r="B183" s="522">
        <v>39414</v>
      </c>
      <c r="C183" s="523">
        <v>10</v>
      </c>
      <c r="D183" s="524">
        <v>67186.53188477963</v>
      </c>
    </row>
    <row r="184" spans="1:4">
      <c r="A184" s="516" t="s">
        <v>1831</v>
      </c>
      <c r="B184" s="522">
        <v>39476</v>
      </c>
      <c r="C184" s="523">
        <v>10</v>
      </c>
      <c r="D184" s="524">
        <v>651.51210137198336</v>
      </c>
    </row>
    <row r="185" spans="1:4">
      <c r="A185" s="516" t="s">
        <v>1831</v>
      </c>
      <c r="B185" s="522">
        <v>39183</v>
      </c>
      <c r="C185" s="523">
        <v>10</v>
      </c>
      <c r="D185" s="524">
        <v>2.9933076181292222</v>
      </c>
    </row>
    <row r="186" spans="1:4">
      <c r="A186" s="516" t="s">
        <v>1831</v>
      </c>
      <c r="B186" s="522">
        <v>39238</v>
      </c>
      <c r="C186" s="523">
        <v>10</v>
      </c>
      <c r="D186" s="524">
        <v>241.51653900508745</v>
      </c>
    </row>
    <row r="187" spans="1:4">
      <c r="A187" s="516" t="s">
        <v>1831</v>
      </c>
      <c r="B187" s="522">
        <v>39422</v>
      </c>
      <c r="C187" s="523">
        <v>10</v>
      </c>
      <c r="D187" s="524">
        <v>1697.4260341042154</v>
      </c>
    </row>
    <row r="188" spans="1:4">
      <c r="A188" s="516" t="s">
        <v>1831</v>
      </c>
      <c r="B188" s="522">
        <v>39440</v>
      </c>
      <c r="C188" s="523">
        <v>10</v>
      </c>
      <c r="D188" s="524">
        <v>1275.6104885534774</v>
      </c>
    </row>
    <row r="189" spans="1:4">
      <c r="A189" s="516" t="s">
        <v>1831</v>
      </c>
      <c r="B189" s="522">
        <v>39476</v>
      </c>
      <c r="C189" s="523">
        <v>10</v>
      </c>
      <c r="D189" s="524">
        <v>1413.2887078730741</v>
      </c>
    </row>
    <row r="190" spans="1:4">
      <c r="A190" s="516" t="s">
        <v>1831</v>
      </c>
      <c r="B190" s="522">
        <v>39479</v>
      </c>
      <c r="C190" s="523">
        <v>10</v>
      </c>
      <c r="D190" s="524">
        <v>2115.7253308526697</v>
      </c>
    </row>
    <row r="191" spans="1:4">
      <c r="A191" s="516" t="s">
        <v>1831</v>
      </c>
      <c r="B191" s="522">
        <v>39480</v>
      </c>
      <c r="C191" s="523">
        <v>10</v>
      </c>
      <c r="D191" s="524">
        <v>2121.3106744463416</v>
      </c>
    </row>
    <row r="192" spans="1:4">
      <c r="A192" s="516" t="s">
        <v>1831</v>
      </c>
      <c r="B192" s="522">
        <v>39481</v>
      </c>
      <c r="C192" s="523">
        <v>10</v>
      </c>
      <c r="D192" s="524">
        <v>2126.8917542035219</v>
      </c>
    </row>
    <row r="193" spans="1:4">
      <c r="A193" s="516" t="s">
        <v>1831</v>
      </c>
      <c r="B193" s="522">
        <v>39378</v>
      </c>
      <c r="C193" s="523">
        <v>10</v>
      </c>
      <c r="D193" s="524">
        <v>158.90185573770492</v>
      </c>
    </row>
    <row r="194" spans="1:4">
      <c r="A194" s="516" t="s">
        <v>1831</v>
      </c>
      <c r="B194" s="522">
        <v>39387</v>
      </c>
      <c r="C194" s="523">
        <v>10</v>
      </c>
      <c r="D194" s="524">
        <v>658.24643194028738</v>
      </c>
    </row>
    <row r="195" spans="1:4">
      <c r="A195" s="516" t="s">
        <v>1831</v>
      </c>
      <c r="B195" s="522">
        <v>39388</v>
      </c>
      <c r="C195" s="523">
        <v>10</v>
      </c>
      <c r="D195" s="524">
        <v>74.122698660993635</v>
      </c>
    </row>
    <row r="196" spans="1:4">
      <c r="A196" s="516" t="s">
        <v>1831</v>
      </c>
      <c r="B196" s="522">
        <v>39403</v>
      </c>
      <c r="C196" s="523">
        <v>10</v>
      </c>
      <c r="D196" s="524">
        <v>67.121151871326916</v>
      </c>
    </row>
    <row r="197" spans="1:4">
      <c r="A197" s="516" t="s">
        <v>1831</v>
      </c>
      <c r="B197" s="522">
        <v>39411</v>
      </c>
      <c r="C197" s="523">
        <v>10</v>
      </c>
      <c r="D197" s="524">
        <v>504.96522852434396</v>
      </c>
    </row>
    <row r="198" spans="1:4">
      <c r="A198" s="516" t="s">
        <v>1831</v>
      </c>
      <c r="B198" s="522">
        <v>39411</v>
      </c>
      <c r="C198" s="523">
        <v>10</v>
      </c>
      <c r="D198" s="524">
        <v>644.14698855041661</v>
      </c>
    </row>
    <row r="199" spans="1:4">
      <c r="A199" s="516" t="s">
        <v>1831</v>
      </c>
      <c r="B199" s="522">
        <v>39431</v>
      </c>
      <c r="C199" s="523">
        <v>10</v>
      </c>
      <c r="D199" s="524">
        <v>79.838601468503541</v>
      </c>
    </row>
    <row r="200" spans="1:4">
      <c r="A200" s="516" t="s">
        <v>1831</v>
      </c>
      <c r="B200" s="522">
        <v>39435</v>
      </c>
      <c r="C200" s="523">
        <v>10</v>
      </c>
      <c r="D200" s="524">
        <v>450.23289611848679</v>
      </c>
    </row>
    <row r="201" spans="1:4">
      <c r="A201" s="516" t="s">
        <v>1831</v>
      </c>
      <c r="B201" s="522">
        <v>39490</v>
      </c>
      <c r="C201" s="523">
        <v>10</v>
      </c>
      <c r="D201" s="524">
        <v>1061.3264727604139</v>
      </c>
    </row>
    <row r="202" spans="1:4">
      <c r="A202" s="516" t="s">
        <v>1831</v>
      </c>
      <c r="B202" s="522">
        <v>39507</v>
      </c>
      <c r="C202" s="523">
        <v>10</v>
      </c>
      <c r="D202" s="524">
        <v>681.15976379217386</v>
      </c>
    </row>
    <row r="203" spans="1:4">
      <c r="A203" s="516" t="s">
        <v>1831</v>
      </c>
      <c r="B203" s="522">
        <v>39553</v>
      </c>
      <c r="C203" s="523">
        <v>10</v>
      </c>
      <c r="D203" s="524">
        <v>584.46887143361664</v>
      </c>
    </row>
    <row r="204" spans="1:4">
      <c r="A204" s="516" t="s">
        <v>1831</v>
      </c>
      <c r="B204" s="522">
        <v>39797</v>
      </c>
      <c r="C204" s="523">
        <v>10</v>
      </c>
      <c r="D204" s="524">
        <v>14649.700637317212</v>
      </c>
    </row>
    <row r="205" spans="1:4">
      <c r="A205" s="516" t="s">
        <v>1831</v>
      </c>
      <c r="B205" s="522">
        <v>39591</v>
      </c>
      <c r="C205" s="523">
        <v>10</v>
      </c>
      <c r="D205" s="524">
        <v>831.7915267449448</v>
      </c>
    </row>
    <row r="206" spans="1:4">
      <c r="A206" s="516" t="s">
        <v>1831</v>
      </c>
      <c r="B206" s="522">
        <v>39591</v>
      </c>
      <c r="C206" s="523">
        <v>10</v>
      </c>
      <c r="D206" s="524">
        <v>1600.2945677592959</v>
      </c>
    </row>
    <row r="207" spans="1:4">
      <c r="A207" s="516" t="s">
        <v>1831</v>
      </c>
      <c r="B207" s="522">
        <v>39591</v>
      </c>
      <c r="C207" s="523">
        <v>10</v>
      </c>
      <c r="D207" s="524">
        <v>1365.2230493313764</v>
      </c>
    </row>
    <row r="208" spans="1:4">
      <c r="A208" s="516" t="s">
        <v>1831</v>
      </c>
      <c r="B208" s="522">
        <v>39659</v>
      </c>
      <c r="C208" s="523">
        <v>10</v>
      </c>
      <c r="D208" s="524">
        <v>751.22491060950244</v>
      </c>
    </row>
    <row r="209" spans="1:4">
      <c r="A209" s="516" t="s">
        <v>1831</v>
      </c>
      <c r="B209" s="522">
        <v>39661</v>
      </c>
      <c r="C209" s="523">
        <v>10</v>
      </c>
      <c r="D209" s="524">
        <v>2159.1767566820222</v>
      </c>
    </row>
    <row r="210" spans="1:4">
      <c r="A210" s="516" t="s">
        <v>1831</v>
      </c>
      <c r="B210" s="522">
        <v>39695</v>
      </c>
      <c r="C210" s="523">
        <v>10</v>
      </c>
      <c r="D210" s="524">
        <v>657.29730258205609</v>
      </c>
    </row>
    <row r="211" spans="1:4">
      <c r="A211" s="516" t="s">
        <v>1831</v>
      </c>
      <c r="B211" s="522">
        <v>39697</v>
      </c>
      <c r="C211" s="523">
        <v>10</v>
      </c>
      <c r="D211" s="524">
        <v>1699.3974139224817</v>
      </c>
    </row>
    <row r="212" spans="1:4">
      <c r="A212" s="516" t="s">
        <v>1831</v>
      </c>
      <c r="B212" s="522">
        <v>39699</v>
      </c>
      <c r="C212" s="523">
        <v>10</v>
      </c>
      <c r="D212" s="524">
        <v>21.679859208523599</v>
      </c>
    </row>
    <row r="213" spans="1:4">
      <c r="A213" s="516" t="s">
        <v>1831</v>
      </c>
      <c r="B213" s="522">
        <v>39722</v>
      </c>
      <c r="C213" s="523">
        <v>10</v>
      </c>
      <c r="D213" s="524">
        <v>1232.9184131933737</v>
      </c>
    </row>
    <row r="214" spans="1:4">
      <c r="A214" s="516" t="s">
        <v>1831</v>
      </c>
      <c r="B214" s="522">
        <v>39735</v>
      </c>
      <c r="C214" s="523">
        <v>10</v>
      </c>
      <c r="D214" s="524">
        <v>308.19177136688506</v>
      </c>
    </row>
    <row r="215" spans="1:4">
      <c r="A215" s="516" t="s">
        <v>1831</v>
      </c>
      <c r="B215" s="522">
        <v>39741</v>
      </c>
      <c r="C215" s="523">
        <v>10</v>
      </c>
      <c r="D215" s="524">
        <v>243.30381609069781</v>
      </c>
    </row>
    <row r="216" spans="1:4">
      <c r="A216" s="516" t="s">
        <v>1831</v>
      </c>
      <c r="B216" s="522">
        <v>39777</v>
      </c>
      <c r="C216" s="523">
        <v>10</v>
      </c>
      <c r="D216" s="524">
        <v>1203.2163852693743</v>
      </c>
    </row>
    <row r="217" spans="1:4">
      <c r="A217" s="516" t="s">
        <v>1831</v>
      </c>
      <c r="B217" s="522">
        <v>39777</v>
      </c>
      <c r="C217" s="523">
        <v>10</v>
      </c>
      <c r="D217" s="524">
        <v>2851.844935631445</v>
      </c>
    </row>
    <row r="218" spans="1:4">
      <c r="A218" s="516" t="s">
        <v>1831</v>
      </c>
      <c r="B218" s="522">
        <v>39812</v>
      </c>
      <c r="C218" s="523">
        <v>10</v>
      </c>
      <c r="D218" s="524">
        <v>2106.8610644327282</v>
      </c>
    </row>
    <row r="219" spans="1:4">
      <c r="A219" s="516" t="s">
        <v>1831</v>
      </c>
      <c r="B219" s="522">
        <v>39834</v>
      </c>
      <c r="C219" s="523">
        <v>10</v>
      </c>
      <c r="D219" s="524">
        <v>853.98028240252938</v>
      </c>
    </row>
    <row r="220" spans="1:4">
      <c r="A220" s="516" t="s">
        <v>1831</v>
      </c>
      <c r="B220" s="522">
        <v>39841</v>
      </c>
      <c r="C220" s="523">
        <v>10</v>
      </c>
      <c r="D220" s="524">
        <v>1424.4114211403598</v>
      </c>
    </row>
    <row r="221" spans="1:4">
      <c r="A221" s="516" t="s">
        <v>1831</v>
      </c>
      <c r="B221" s="522">
        <v>39842</v>
      </c>
      <c r="C221" s="523">
        <v>10</v>
      </c>
      <c r="D221" s="524">
        <v>2298.3887521736769</v>
      </c>
    </row>
    <row r="222" spans="1:4">
      <c r="A222" s="516" t="s">
        <v>1831</v>
      </c>
      <c r="B222" s="522">
        <v>39897</v>
      </c>
      <c r="C222" s="523">
        <v>10</v>
      </c>
      <c r="D222" s="524">
        <v>1162.4327229214705</v>
      </c>
    </row>
    <row r="223" spans="1:4">
      <c r="A223" s="516" t="s">
        <v>1831</v>
      </c>
      <c r="B223" s="522">
        <v>39898</v>
      </c>
      <c r="C223" s="523">
        <v>10</v>
      </c>
      <c r="D223" s="524">
        <v>1374.7235863450487</v>
      </c>
    </row>
    <row r="224" spans="1:4">
      <c r="A224" s="516" t="s">
        <v>1831</v>
      </c>
      <c r="B224" s="522">
        <v>39902</v>
      </c>
      <c r="C224" s="523">
        <v>10</v>
      </c>
      <c r="D224" s="524">
        <v>9647.8310315442759</v>
      </c>
    </row>
    <row r="225" spans="1:4">
      <c r="A225" s="516" t="s">
        <v>1831</v>
      </c>
      <c r="B225" s="522">
        <v>39903</v>
      </c>
      <c r="C225" s="523">
        <v>10</v>
      </c>
      <c r="D225" s="524">
        <v>6683.5321875000027</v>
      </c>
    </row>
    <row r="226" spans="1:4">
      <c r="A226" s="516" t="s">
        <v>1831</v>
      </c>
      <c r="B226" s="522">
        <v>39560</v>
      </c>
      <c r="C226" s="523">
        <v>10</v>
      </c>
      <c r="D226" s="524">
        <v>2911.0715256444646</v>
      </c>
    </row>
    <row r="227" spans="1:4">
      <c r="A227" s="516" t="s">
        <v>1831</v>
      </c>
      <c r="B227" s="522">
        <v>39648</v>
      </c>
      <c r="C227" s="523">
        <v>10</v>
      </c>
      <c r="D227" s="524">
        <v>2711.4436203148325</v>
      </c>
    </row>
    <row r="228" spans="1:4">
      <c r="A228" s="516" t="s">
        <v>1831</v>
      </c>
      <c r="B228" s="522">
        <v>39626</v>
      </c>
      <c r="C228" s="523">
        <v>10</v>
      </c>
      <c r="D228" s="524">
        <v>636.06281789765467</v>
      </c>
    </row>
    <row r="229" spans="1:4">
      <c r="A229" s="516" t="s">
        <v>1831</v>
      </c>
      <c r="B229" s="522">
        <v>39692</v>
      </c>
      <c r="C229" s="523">
        <v>10</v>
      </c>
      <c r="D229" s="524">
        <v>1716.2952599172822</v>
      </c>
    </row>
    <row r="230" spans="1:4">
      <c r="A230" s="516" t="s">
        <v>1831</v>
      </c>
      <c r="B230" s="522">
        <v>39694</v>
      </c>
      <c r="C230" s="523">
        <v>10</v>
      </c>
      <c r="D230" s="524">
        <v>419.6088582212987</v>
      </c>
    </row>
    <row r="231" spans="1:4">
      <c r="A231" s="516" t="s">
        <v>1831</v>
      </c>
      <c r="B231" s="522">
        <v>39841</v>
      </c>
      <c r="C231" s="523">
        <v>10</v>
      </c>
      <c r="D231" s="524">
        <v>286.9693339293766</v>
      </c>
    </row>
    <row r="232" spans="1:4">
      <c r="A232" s="516" t="s">
        <v>1831</v>
      </c>
      <c r="B232" s="522">
        <v>39924</v>
      </c>
      <c r="C232" s="523">
        <v>10</v>
      </c>
      <c r="D232" s="524">
        <v>161349.1585365854</v>
      </c>
    </row>
    <row r="233" spans="1:4">
      <c r="A233" s="516" t="s">
        <v>1831</v>
      </c>
      <c r="B233" s="522">
        <v>40181</v>
      </c>
      <c r="C233" s="523">
        <v>10</v>
      </c>
      <c r="D233" s="524">
        <v>249242.07666444062</v>
      </c>
    </row>
    <row r="234" spans="1:4">
      <c r="A234" s="516" t="s">
        <v>1831</v>
      </c>
      <c r="B234" s="522">
        <v>39985</v>
      </c>
      <c r="C234" s="523">
        <v>10</v>
      </c>
      <c r="D234" s="524">
        <v>193931.84662234702</v>
      </c>
    </row>
    <row r="235" spans="1:4">
      <c r="A235" s="516" t="s">
        <v>1831</v>
      </c>
      <c r="B235" s="522">
        <v>40088</v>
      </c>
      <c r="C235" s="523">
        <v>10</v>
      </c>
      <c r="D235" s="524">
        <v>6123.6323762247976</v>
      </c>
    </row>
    <row r="236" spans="1:4">
      <c r="A236" s="516" t="s">
        <v>1831</v>
      </c>
      <c r="B236" s="522">
        <v>40094</v>
      </c>
      <c r="C236" s="523">
        <v>10</v>
      </c>
      <c r="D236" s="524">
        <v>2507.0126009204932</v>
      </c>
    </row>
    <row r="237" spans="1:4">
      <c r="A237" s="516" t="s">
        <v>1831</v>
      </c>
      <c r="B237" s="522">
        <v>40210</v>
      </c>
      <c r="C237" s="523">
        <v>10</v>
      </c>
      <c r="D237" s="524">
        <v>7920.4853143742421</v>
      </c>
    </row>
    <row r="238" spans="1:4">
      <c r="A238" s="516" t="s">
        <v>1831</v>
      </c>
      <c r="B238" s="522">
        <v>39985</v>
      </c>
      <c r="C238" s="523">
        <v>10</v>
      </c>
      <c r="D238" s="524">
        <v>20578.440654314418</v>
      </c>
    </row>
    <row r="239" spans="1:4">
      <c r="A239" s="516" t="s">
        <v>1831</v>
      </c>
      <c r="B239" s="522">
        <v>39986</v>
      </c>
      <c r="C239" s="523">
        <v>10</v>
      </c>
      <c r="D239" s="524">
        <v>29223.683424399496</v>
      </c>
    </row>
    <row r="240" spans="1:4">
      <c r="A240" s="516" t="s">
        <v>1831</v>
      </c>
      <c r="B240" s="522">
        <v>39986</v>
      </c>
      <c r="C240" s="523">
        <v>10</v>
      </c>
      <c r="D240" s="524">
        <v>9003.5527903444399</v>
      </c>
    </row>
    <row r="241" spans="1:4">
      <c r="A241" s="516" t="s">
        <v>1831</v>
      </c>
      <c r="B241" s="522">
        <v>39986</v>
      </c>
      <c r="C241" s="523">
        <v>10</v>
      </c>
      <c r="D241" s="524">
        <v>122052.03384246647</v>
      </c>
    </row>
    <row r="242" spans="1:4">
      <c r="A242" s="516" t="s">
        <v>1831</v>
      </c>
      <c r="B242" s="522">
        <v>39998</v>
      </c>
      <c r="C242" s="523">
        <v>10</v>
      </c>
      <c r="D242" s="524">
        <v>5512.8370398395291</v>
      </c>
    </row>
    <row r="243" spans="1:4">
      <c r="A243" s="516" t="s">
        <v>1831</v>
      </c>
      <c r="B243" s="522">
        <v>40046</v>
      </c>
      <c r="C243" s="523">
        <v>10</v>
      </c>
      <c r="D243" s="524">
        <v>1668.1372775396787</v>
      </c>
    </row>
    <row r="244" spans="1:4">
      <c r="A244" s="516" t="s">
        <v>1831</v>
      </c>
      <c r="B244" s="522">
        <v>40053</v>
      </c>
      <c r="C244" s="523">
        <v>10</v>
      </c>
      <c r="D244" s="524">
        <v>9676.716052171374</v>
      </c>
    </row>
    <row r="245" spans="1:4">
      <c r="A245" s="516" t="s">
        <v>1831</v>
      </c>
      <c r="B245" s="522">
        <v>40081</v>
      </c>
      <c r="C245" s="523">
        <v>10</v>
      </c>
      <c r="D245" s="524">
        <v>11321.469867009699</v>
      </c>
    </row>
    <row r="246" spans="1:4">
      <c r="A246" s="516" t="s">
        <v>1831</v>
      </c>
      <c r="B246" s="522">
        <v>40146</v>
      </c>
      <c r="C246" s="523">
        <v>10</v>
      </c>
      <c r="D246" s="524">
        <v>9126.8200291866342</v>
      </c>
    </row>
    <row r="247" spans="1:4">
      <c r="A247" s="516" t="s">
        <v>1831</v>
      </c>
      <c r="B247" s="522">
        <v>40126</v>
      </c>
      <c r="C247" s="523">
        <v>10</v>
      </c>
      <c r="D247" s="524">
        <v>8291.4325718759846</v>
      </c>
    </row>
    <row r="248" spans="1:4">
      <c r="A248" s="516" t="s">
        <v>1831</v>
      </c>
      <c r="B248" s="522">
        <v>40126</v>
      </c>
      <c r="C248" s="523">
        <v>10</v>
      </c>
      <c r="D248" s="524">
        <v>8083.2937295367065</v>
      </c>
    </row>
    <row r="249" spans="1:4">
      <c r="A249" s="516" t="s">
        <v>1831</v>
      </c>
      <c r="B249" s="522">
        <v>40135</v>
      </c>
      <c r="C249" s="523">
        <v>10</v>
      </c>
      <c r="D249" s="524">
        <v>6678.1715095570598</v>
      </c>
    </row>
    <row r="250" spans="1:4">
      <c r="A250" s="516" t="s">
        <v>1831</v>
      </c>
      <c r="B250" s="522">
        <v>40134</v>
      </c>
      <c r="C250" s="523">
        <v>10</v>
      </c>
      <c r="D250" s="524">
        <v>6674.5764457154291</v>
      </c>
    </row>
    <row r="251" spans="1:4">
      <c r="A251" s="516" t="s">
        <v>1831</v>
      </c>
      <c r="B251" s="522">
        <v>40193</v>
      </c>
      <c r="C251" s="523">
        <v>10</v>
      </c>
      <c r="D251" s="524">
        <v>3696.5268550822311</v>
      </c>
    </row>
    <row r="252" spans="1:4">
      <c r="A252" s="516" t="s">
        <v>1831</v>
      </c>
      <c r="B252" s="522">
        <v>40173</v>
      </c>
      <c r="C252" s="523">
        <v>10</v>
      </c>
      <c r="D252" s="524">
        <v>7573.7810090199018</v>
      </c>
    </row>
    <row r="253" spans="1:4">
      <c r="A253" s="516" t="s">
        <v>1831</v>
      </c>
      <c r="B253" s="522">
        <v>40198</v>
      </c>
      <c r="C253" s="523">
        <v>10</v>
      </c>
      <c r="D253" s="524">
        <v>13690.091149410098</v>
      </c>
    </row>
    <row r="254" spans="1:4">
      <c r="A254" s="516" t="s">
        <v>1831</v>
      </c>
      <c r="B254" s="522">
        <v>39959</v>
      </c>
      <c r="C254" s="523">
        <v>10</v>
      </c>
      <c r="D254" s="524">
        <v>1535.4417496356748</v>
      </c>
    </row>
    <row r="255" spans="1:4">
      <c r="A255" s="516" t="s">
        <v>1831</v>
      </c>
      <c r="B255" s="522">
        <v>40037</v>
      </c>
      <c r="C255" s="523">
        <v>10</v>
      </c>
      <c r="D255" s="524">
        <v>9151.2683139714827</v>
      </c>
    </row>
    <row r="256" spans="1:4">
      <c r="A256" s="516" t="s">
        <v>1831</v>
      </c>
      <c r="B256" s="522">
        <v>40037</v>
      </c>
      <c r="C256" s="523">
        <v>10</v>
      </c>
      <c r="D256" s="524">
        <v>14427.67526977486</v>
      </c>
    </row>
    <row r="257" spans="1:4">
      <c r="A257" s="516" t="s">
        <v>1831</v>
      </c>
      <c r="B257" s="522">
        <v>40046</v>
      </c>
      <c r="C257" s="523">
        <v>10</v>
      </c>
      <c r="D257" s="524">
        <v>12843.378770942472</v>
      </c>
    </row>
    <row r="258" spans="1:4">
      <c r="A258" s="516" t="s">
        <v>1831</v>
      </c>
      <c r="B258" s="522">
        <v>40086</v>
      </c>
      <c r="C258" s="523">
        <v>10</v>
      </c>
      <c r="D258" s="524">
        <v>8790.4038125192001</v>
      </c>
    </row>
    <row r="259" spans="1:4">
      <c r="A259" s="516" t="s">
        <v>1831</v>
      </c>
      <c r="B259" s="522">
        <v>40021</v>
      </c>
      <c r="C259" s="523">
        <v>10</v>
      </c>
      <c r="D259" s="524">
        <v>1938.5618563830537</v>
      </c>
    </row>
    <row r="260" spans="1:4">
      <c r="A260" s="516" t="s">
        <v>1831</v>
      </c>
      <c r="B260" s="522">
        <v>39926</v>
      </c>
      <c r="C260" s="523">
        <v>10</v>
      </c>
      <c r="D260" s="524">
        <v>10020.313523360059</v>
      </c>
    </row>
    <row r="261" spans="1:4">
      <c r="A261" s="516" t="s">
        <v>1831</v>
      </c>
      <c r="B261" s="522">
        <v>39926</v>
      </c>
      <c r="C261" s="523">
        <v>10</v>
      </c>
      <c r="D261" s="524">
        <v>6660.0098440863021</v>
      </c>
    </row>
    <row r="262" spans="1:4">
      <c r="A262" s="516" t="s">
        <v>1831</v>
      </c>
      <c r="B262" s="522">
        <v>39926</v>
      </c>
      <c r="C262" s="523">
        <v>10</v>
      </c>
      <c r="D262" s="524">
        <v>5904.2559373153063</v>
      </c>
    </row>
    <row r="263" spans="1:4">
      <c r="A263" s="516" t="s">
        <v>1831</v>
      </c>
      <c r="B263" s="522">
        <v>39931</v>
      </c>
      <c r="C263" s="523">
        <v>10</v>
      </c>
      <c r="D263" s="524">
        <v>3930.2248548008829</v>
      </c>
    </row>
    <row r="264" spans="1:4">
      <c r="A264" s="516" t="s">
        <v>1831</v>
      </c>
      <c r="B264" s="522">
        <v>39931</v>
      </c>
      <c r="C264" s="523">
        <v>10</v>
      </c>
      <c r="D264" s="524">
        <v>3138.4918162926415</v>
      </c>
    </row>
    <row r="265" spans="1:4">
      <c r="A265" s="516" t="s">
        <v>1831</v>
      </c>
      <c r="B265" s="522">
        <v>39939</v>
      </c>
      <c r="C265" s="523">
        <v>10</v>
      </c>
      <c r="D265" s="524">
        <v>3437.2176940123741</v>
      </c>
    </row>
    <row r="266" spans="1:4">
      <c r="A266" s="516" t="s">
        <v>1831</v>
      </c>
      <c r="B266" s="522">
        <v>39958</v>
      </c>
      <c r="C266" s="523">
        <v>10</v>
      </c>
      <c r="D266" s="524">
        <v>2493.3033026019375</v>
      </c>
    </row>
    <row r="267" spans="1:4">
      <c r="A267" s="516" t="s">
        <v>1831</v>
      </c>
      <c r="B267" s="522">
        <v>39967</v>
      </c>
      <c r="C267" s="523">
        <v>10</v>
      </c>
      <c r="D267" s="524">
        <v>4622.9746726066596</v>
      </c>
    </row>
    <row r="268" spans="1:4">
      <c r="A268" s="516" t="s">
        <v>1831</v>
      </c>
      <c r="B268" s="522">
        <v>39969</v>
      </c>
      <c r="C268" s="523">
        <v>10</v>
      </c>
      <c r="D268" s="524">
        <v>3592.2522253750822</v>
      </c>
    </row>
    <row r="269" spans="1:4">
      <c r="A269" s="516" t="s">
        <v>1831</v>
      </c>
      <c r="B269" s="522">
        <v>39994</v>
      </c>
      <c r="C269" s="523">
        <v>10</v>
      </c>
      <c r="D269" s="524">
        <v>5462.1728293572751</v>
      </c>
    </row>
    <row r="270" spans="1:4">
      <c r="A270" s="516" t="s">
        <v>1831</v>
      </c>
      <c r="B270" s="522">
        <v>39998</v>
      </c>
      <c r="C270" s="523">
        <v>10</v>
      </c>
      <c r="D270" s="524">
        <v>5581.7475028375211</v>
      </c>
    </row>
    <row r="271" spans="1:4">
      <c r="A271" s="516" t="s">
        <v>1831</v>
      </c>
      <c r="B271" s="522">
        <v>40043</v>
      </c>
      <c r="C271" s="523">
        <v>10</v>
      </c>
      <c r="D271" s="524">
        <v>7605.8344320801843</v>
      </c>
    </row>
    <row r="272" spans="1:4">
      <c r="A272" s="516" t="s">
        <v>1831</v>
      </c>
      <c r="B272" s="522">
        <v>40043</v>
      </c>
      <c r="C272" s="523">
        <v>10</v>
      </c>
      <c r="D272" s="524">
        <v>2111.9880541012194</v>
      </c>
    </row>
    <row r="273" spans="1:4">
      <c r="A273" s="516" t="s">
        <v>1831</v>
      </c>
      <c r="B273" s="522">
        <v>40043</v>
      </c>
      <c r="C273" s="523">
        <v>10</v>
      </c>
      <c r="D273" s="524">
        <v>6207.5109196530702</v>
      </c>
    </row>
    <row r="274" spans="1:4">
      <c r="A274" s="516" t="s">
        <v>1831</v>
      </c>
      <c r="B274" s="522">
        <v>40043</v>
      </c>
      <c r="C274" s="523">
        <v>10</v>
      </c>
      <c r="D274" s="524">
        <v>6171.4930129048907</v>
      </c>
    </row>
    <row r="275" spans="1:4">
      <c r="A275" s="516" t="s">
        <v>1831</v>
      </c>
      <c r="B275" s="522">
        <v>40043</v>
      </c>
      <c r="C275" s="523">
        <v>10</v>
      </c>
      <c r="D275" s="524">
        <v>4985.4520305157203</v>
      </c>
    </row>
    <row r="276" spans="1:4">
      <c r="A276" s="516" t="s">
        <v>1831</v>
      </c>
      <c r="B276" s="522">
        <v>40056</v>
      </c>
      <c r="C276" s="523">
        <v>10</v>
      </c>
      <c r="D276" s="524">
        <v>4826.5399385120672</v>
      </c>
    </row>
    <row r="277" spans="1:4">
      <c r="A277" s="516" t="s">
        <v>1831</v>
      </c>
      <c r="B277" s="522">
        <v>40056</v>
      </c>
      <c r="C277" s="523">
        <v>10</v>
      </c>
      <c r="D277" s="524">
        <v>4826.5399385120672</v>
      </c>
    </row>
    <row r="278" spans="1:4">
      <c r="A278" s="516" t="s">
        <v>1831</v>
      </c>
      <c r="B278" s="522">
        <v>40061</v>
      </c>
      <c r="C278" s="523">
        <v>10</v>
      </c>
      <c r="D278" s="524">
        <v>9507.8854137235139</v>
      </c>
    </row>
    <row r="279" spans="1:4">
      <c r="A279" s="516" t="s">
        <v>1831</v>
      </c>
      <c r="B279" s="522">
        <v>40064</v>
      </c>
      <c r="C279" s="523">
        <v>10</v>
      </c>
      <c r="D279" s="524">
        <v>4428.3313182485072</v>
      </c>
    </row>
    <row r="280" spans="1:4">
      <c r="A280" s="516" t="s">
        <v>1831</v>
      </c>
      <c r="B280" s="522">
        <v>40064</v>
      </c>
      <c r="C280" s="523">
        <v>10</v>
      </c>
      <c r="D280" s="524">
        <v>7556.7498115869039</v>
      </c>
    </row>
    <row r="281" spans="1:4">
      <c r="A281" s="516" t="s">
        <v>1831</v>
      </c>
      <c r="B281" s="522">
        <v>40065</v>
      </c>
      <c r="C281" s="523">
        <v>10</v>
      </c>
      <c r="D281" s="524">
        <v>6032.4881005152492</v>
      </c>
    </row>
    <row r="282" spans="1:4">
      <c r="A282" s="516" t="s">
        <v>1831</v>
      </c>
      <c r="B282" s="522">
        <v>40065</v>
      </c>
      <c r="C282" s="523">
        <v>10</v>
      </c>
      <c r="D282" s="524">
        <v>5447.9132105595327</v>
      </c>
    </row>
    <row r="283" spans="1:4">
      <c r="A283" s="516" t="s">
        <v>1831</v>
      </c>
      <c r="B283" s="522">
        <v>40065</v>
      </c>
      <c r="C283" s="523">
        <v>10</v>
      </c>
      <c r="D283" s="524">
        <v>3823.398927720069</v>
      </c>
    </row>
    <row r="284" spans="1:4">
      <c r="A284" s="516" t="s">
        <v>1831</v>
      </c>
      <c r="B284" s="522">
        <v>40071</v>
      </c>
      <c r="C284" s="523">
        <v>10</v>
      </c>
      <c r="D284" s="524">
        <v>5144.6795457831331</v>
      </c>
    </row>
    <row r="285" spans="1:4">
      <c r="A285" s="516" t="s">
        <v>1831</v>
      </c>
      <c r="B285" s="522">
        <v>40114</v>
      </c>
      <c r="C285" s="523">
        <v>10</v>
      </c>
      <c r="D285" s="524">
        <v>3290.4523803305174</v>
      </c>
    </row>
    <row r="286" spans="1:4">
      <c r="A286" s="516" t="s">
        <v>1831</v>
      </c>
      <c r="B286" s="522">
        <v>40114</v>
      </c>
      <c r="C286" s="523">
        <v>10</v>
      </c>
      <c r="D286" s="524">
        <v>2430.1642785500317</v>
      </c>
    </row>
    <row r="287" spans="1:4">
      <c r="A287" s="516" t="s">
        <v>1831</v>
      </c>
      <c r="B287" s="522">
        <v>40114</v>
      </c>
      <c r="C287" s="523">
        <v>10</v>
      </c>
      <c r="D287" s="524">
        <v>1837.4300185116626</v>
      </c>
    </row>
    <row r="288" spans="1:4">
      <c r="A288" s="516" t="s">
        <v>1831</v>
      </c>
      <c r="B288" s="522">
        <v>40115</v>
      </c>
      <c r="C288" s="523">
        <v>10</v>
      </c>
      <c r="D288" s="524">
        <v>5221.7687748526532</v>
      </c>
    </row>
    <row r="289" spans="1:4">
      <c r="A289" s="516" t="s">
        <v>1831</v>
      </c>
      <c r="B289" s="522">
        <v>40115</v>
      </c>
      <c r="C289" s="523">
        <v>10</v>
      </c>
      <c r="D289" s="524">
        <v>3551.8704813359527</v>
      </c>
    </row>
    <row r="290" spans="1:4">
      <c r="A290" s="516" t="s">
        <v>1831</v>
      </c>
      <c r="B290" s="522">
        <v>40115</v>
      </c>
      <c r="C290" s="523">
        <v>10</v>
      </c>
      <c r="D290" s="524">
        <v>3403.4717591355607</v>
      </c>
    </row>
    <row r="291" spans="1:4">
      <c r="A291" s="516" t="s">
        <v>1831</v>
      </c>
      <c r="B291" s="522">
        <v>40115</v>
      </c>
      <c r="C291" s="523">
        <v>10</v>
      </c>
      <c r="D291" s="524">
        <v>4737.0431475773084</v>
      </c>
    </row>
    <row r="292" spans="1:4">
      <c r="A292" s="516" t="s">
        <v>1831</v>
      </c>
      <c r="B292" s="522">
        <v>40120</v>
      </c>
      <c r="C292" s="523">
        <v>10</v>
      </c>
      <c r="D292" s="524">
        <v>3258.1414453699163</v>
      </c>
    </row>
    <row r="293" spans="1:4">
      <c r="A293" s="516" t="s">
        <v>1831</v>
      </c>
      <c r="B293" s="522">
        <v>40120</v>
      </c>
      <c r="C293" s="523">
        <v>10</v>
      </c>
      <c r="D293" s="524">
        <v>3695.0256465740013</v>
      </c>
    </row>
    <row r="294" spans="1:4">
      <c r="A294" s="516" t="s">
        <v>1831</v>
      </c>
      <c r="B294" s="522">
        <v>40129</v>
      </c>
      <c r="C294" s="523">
        <v>10</v>
      </c>
      <c r="D294" s="524">
        <v>2114.4579722018038</v>
      </c>
    </row>
    <row r="295" spans="1:4">
      <c r="A295" s="516" t="s">
        <v>1831</v>
      </c>
      <c r="B295" s="522">
        <v>40148</v>
      </c>
      <c r="C295" s="523">
        <v>10</v>
      </c>
      <c r="D295" s="524">
        <v>3300.3778546157564</v>
      </c>
    </row>
    <row r="296" spans="1:4">
      <c r="A296" s="516" t="s">
        <v>1831</v>
      </c>
      <c r="B296" s="522">
        <v>40185</v>
      </c>
      <c r="C296" s="523">
        <v>10</v>
      </c>
      <c r="D296" s="524">
        <v>7706.7919662802979</v>
      </c>
    </row>
    <row r="297" spans="1:4">
      <c r="A297" s="516" t="s">
        <v>1831</v>
      </c>
      <c r="B297" s="522">
        <v>40065</v>
      </c>
      <c r="C297" s="523">
        <v>10</v>
      </c>
      <c r="D297" s="524">
        <v>19534.505250151058</v>
      </c>
    </row>
    <row r="298" spans="1:4">
      <c r="A298" s="516" t="s">
        <v>1831</v>
      </c>
      <c r="B298" s="522">
        <v>40558</v>
      </c>
      <c r="C298" s="523">
        <v>10</v>
      </c>
      <c r="D298" s="524">
        <v>27279.867967728922</v>
      </c>
    </row>
    <row r="299" spans="1:4">
      <c r="A299" s="516" t="s">
        <v>1831</v>
      </c>
      <c r="B299" s="522">
        <v>40446</v>
      </c>
      <c r="C299" s="523">
        <v>10</v>
      </c>
      <c r="D299" s="524">
        <v>3310.9423680608375</v>
      </c>
    </row>
    <row r="300" spans="1:4">
      <c r="A300" s="516" t="s">
        <v>1831</v>
      </c>
      <c r="B300" s="522">
        <v>40446</v>
      </c>
      <c r="C300" s="523">
        <v>10</v>
      </c>
      <c r="D300" s="524">
        <v>2990.4685105196459</v>
      </c>
    </row>
    <row r="301" spans="1:4">
      <c r="A301" s="516" t="s">
        <v>1831</v>
      </c>
      <c r="B301" s="522">
        <v>40432</v>
      </c>
      <c r="C301" s="523">
        <v>10</v>
      </c>
      <c r="D301" s="524">
        <v>6320.827807054824</v>
      </c>
    </row>
    <row r="302" spans="1:4">
      <c r="A302" s="516" t="s">
        <v>1831</v>
      </c>
      <c r="B302" s="522">
        <v>40543</v>
      </c>
      <c r="C302" s="523">
        <v>10</v>
      </c>
      <c r="D302" s="524">
        <v>36174.012155793433</v>
      </c>
    </row>
    <row r="303" spans="1:4">
      <c r="A303" s="516" t="s">
        <v>1831</v>
      </c>
      <c r="B303" s="522">
        <v>40543</v>
      </c>
      <c r="C303" s="523">
        <v>10</v>
      </c>
      <c r="D303" s="524">
        <v>19983.696222656254</v>
      </c>
    </row>
    <row r="304" spans="1:4">
      <c r="A304" s="516" t="s">
        <v>1831</v>
      </c>
      <c r="B304" s="522">
        <v>40597</v>
      </c>
      <c r="C304" s="523">
        <v>10</v>
      </c>
      <c r="D304" s="524">
        <v>68702.073145849878</v>
      </c>
    </row>
    <row r="305" spans="1:4">
      <c r="A305" s="516" t="s">
        <v>1831</v>
      </c>
      <c r="B305" s="522">
        <v>40589</v>
      </c>
      <c r="C305" s="523">
        <v>10</v>
      </c>
      <c r="D305" s="524">
        <v>3907.6653466135449</v>
      </c>
    </row>
    <row r="306" spans="1:4">
      <c r="A306" s="516" t="s">
        <v>1831</v>
      </c>
      <c r="B306" s="522">
        <v>40633</v>
      </c>
      <c r="C306" s="523">
        <v>10</v>
      </c>
      <c r="D306" s="524">
        <v>14244.317141738451</v>
      </c>
    </row>
    <row r="307" spans="1:4">
      <c r="A307" s="516" t="s">
        <v>1831</v>
      </c>
      <c r="B307" s="522">
        <v>40633</v>
      </c>
      <c r="C307" s="523">
        <v>10</v>
      </c>
      <c r="D307" s="524">
        <v>18802.503654189502</v>
      </c>
    </row>
    <row r="308" spans="1:4">
      <c r="A308" s="516" t="s">
        <v>1832</v>
      </c>
      <c r="B308" s="522">
        <v>40633</v>
      </c>
      <c r="C308" s="523">
        <v>10</v>
      </c>
      <c r="D308" s="524">
        <v>515067.50422525464</v>
      </c>
    </row>
    <row r="309" spans="1:4">
      <c r="A309" s="516" t="s">
        <v>1831</v>
      </c>
      <c r="B309" s="522">
        <v>40605</v>
      </c>
      <c r="C309" s="523">
        <v>10</v>
      </c>
      <c r="D309" s="524">
        <v>262426.85828503559</v>
      </c>
    </row>
    <row r="310" spans="1:4">
      <c r="A310" s="516" t="s">
        <v>1832</v>
      </c>
      <c r="B310" s="522">
        <v>40480</v>
      </c>
      <c r="C310" s="523">
        <v>10</v>
      </c>
      <c r="D310" s="524">
        <v>97.739479383590151</v>
      </c>
    </row>
    <row r="311" spans="1:4">
      <c r="A311" s="516" t="s">
        <v>1832</v>
      </c>
      <c r="B311" s="522">
        <v>40561</v>
      </c>
      <c r="C311" s="523">
        <v>10</v>
      </c>
      <c r="D311" s="524">
        <v>6752.052941176471</v>
      </c>
    </row>
    <row r="312" spans="1:4">
      <c r="A312" s="516" t="s">
        <v>1832</v>
      </c>
      <c r="B312" s="522">
        <v>40563</v>
      </c>
      <c r="C312" s="523">
        <v>10</v>
      </c>
      <c r="D312" s="524">
        <v>9012.2127258288656</v>
      </c>
    </row>
    <row r="313" spans="1:4">
      <c r="A313" s="516" t="s">
        <v>1831</v>
      </c>
      <c r="B313" s="522">
        <v>40831</v>
      </c>
      <c r="C313" s="523">
        <v>10</v>
      </c>
      <c r="D313" s="524">
        <v>2663.251501588662</v>
      </c>
    </row>
    <row r="314" spans="1:4">
      <c r="A314" s="516" t="s">
        <v>1831</v>
      </c>
      <c r="B314" s="522">
        <v>40834</v>
      </c>
      <c r="C314" s="523">
        <v>10</v>
      </c>
      <c r="D314" s="524">
        <v>2401.8889379210896</v>
      </c>
    </row>
    <row r="315" spans="1:4">
      <c r="A315" s="516" t="s">
        <v>1831</v>
      </c>
      <c r="B315" s="522">
        <v>40871</v>
      </c>
      <c r="C315" s="523">
        <v>10</v>
      </c>
      <c r="D315" s="524">
        <v>1085.9363564492483</v>
      </c>
    </row>
    <row r="316" spans="1:4">
      <c r="A316" s="516" t="s">
        <v>1831</v>
      </c>
      <c r="B316" s="522">
        <v>40891</v>
      </c>
      <c r="C316" s="523">
        <v>10</v>
      </c>
      <c r="D316" s="524">
        <v>3763.4863336270982</v>
      </c>
    </row>
    <row r="317" spans="1:4">
      <c r="A317" s="516" t="s">
        <v>1831</v>
      </c>
      <c r="B317" s="522">
        <v>40917</v>
      </c>
      <c r="C317" s="523">
        <v>10</v>
      </c>
      <c r="D317" s="524">
        <v>1702.5948890787454</v>
      </c>
    </row>
    <row r="318" spans="1:4">
      <c r="A318" s="516" t="s">
        <v>1831</v>
      </c>
      <c r="B318" s="522">
        <v>40932</v>
      </c>
      <c r="C318" s="523">
        <v>10</v>
      </c>
      <c r="D318" s="524">
        <v>6162.3097148958695</v>
      </c>
    </row>
    <row r="319" spans="1:4">
      <c r="A319" s="516" t="s">
        <v>1831</v>
      </c>
      <c r="B319" s="522">
        <v>40992</v>
      </c>
      <c r="C319" s="523">
        <v>10</v>
      </c>
      <c r="D319" s="524">
        <v>10062.278854215856</v>
      </c>
    </row>
    <row r="320" spans="1:4">
      <c r="A320" s="516" t="s">
        <v>1831</v>
      </c>
      <c r="B320" s="522">
        <v>40747</v>
      </c>
      <c r="C320" s="523">
        <v>10</v>
      </c>
      <c r="D320" s="524">
        <v>24180.886702398806</v>
      </c>
    </row>
    <row r="321" spans="1:4">
      <c r="A321" s="516" t="s">
        <v>1831</v>
      </c>
      <c r="B321" s="522">
        <v>40877</v>
      </c>
      <c r="C321" s="523">
        <v>10</v>
      </c>
      <c r="D321" s="524">
        <v>25381.210095810118</v>
      </c>
    </row>
    <row r="322" spans="1:4">
      <c r="A322" s="516" t="s">
        <v>1831</v>
      </c>
      <c r="B322" s="522">
        <v>40877</v>
      </c>
      <c r="C322" s="523">
        <v>10</v>
      </c>
      <c r="D322" s="524">
        <v>6345.4329703173498</v>
      </c>
    </row>
    <row r="323" spans="1:4">
      <c r="A323" s="516" t="s">
        <v>1831</v>
      </c>
      <c r="B323" s="522">
        <v>40812</v>
      </c>
      <c r="C323" s="523">
        <v>10</v>
      </c>
      <c r="D323" s="524">
        <v>518089.13267672126</v>
      </c>
    </row>
    <row r="324" spans="1:4">
      <c r="A324" s="516" t="s">
        <v>1831</v>
      </c>
      <c r="B324" s="522">
        <v>40999</v>
      </c>
      <c r="C324" s="523">
        <v>10</v>
      </c>
      <c r="D324" s="524">
        <v>89420.076240653929</v>
      </c>
    </row>
    <row r="325" spans="1:4">
      <c r="A325" s="516" t="s">
        <v>1831</v>
      </c>
      <c r="B325" s="522">
        <v>40747</v>
      </c>
      <c r="C325" s="523">
        <v>10</v>
      </c>
      <c r="D325" s="524">
        <v>5038.6473685588717</v>
      </c>
    </row>
    <row r="326" spans="1:4">
      <c r="A326" s="516" t="s">
        <v>1831</v>
      </c>
      <c r="B326" s="522">
        <v>40702</v>
      </c>
      <c r="C326" s="523">
        <v>10</v>
      </c>
      <c r="D326" s="524">
        <v>33868.304397347376</v>
      </c>
    </row>
    <row r="327" spans="1:4">
      <c r="A327" s="516" t="s">
        <v>1831</v>
      </c>
      <c r="B327" s="522">
        <v>40700</v>
      </c>
      <c r="C327" s="523">
        <v>10</v>
      </c>
      <c r="D327" s="524">
        <v>28097.287216140401</v>
      </c>
    </row>
    <row r="328" spans="1:4">
      <c r="A328" s="516" t="s">
        <v>1831</v>
      </c>
      <c r="B328" s="522">
        <v>40999</v>
      </c>
      <c r="C328" s="523">
        <v>10</v>
      </c>
      <c r="D328" s="524">
        <v>27018.324111423397</v>
      </c>
    </row>
    <row r="329" spans="1:4">
      <c r="A329" s="516" t="s">
        <v>1831</v>
      </c>
      <c r="B329" s="522">
        <v>40843</v>
      </c>
      <c r="C329" s="523">
        <v>10</v>
      </c>
      <c r="D329" s="524">
        <v>18810.998430897249</v>
      </c>
    </row>
    <row r="330" spans="1:4">
      <c r="A330" s="516" t="s">
        <v>1831</v>
      </c>
      <c r="B330" s="522">
        <v>40862</v>
      </c>
      <c r="C330" s="523">
        <v>10</v>
      </c>
      <c r="D330" s="524">
        <v>33443.573501582498</v>
      </c>
    </row>
    <row r="331" spans="1:4">
      <c r="A331" s="516" t="s">
        <v>1831</v>
      </c>
      <c r="B331" s="522">
        <v>40712</v>
      </c>
      <c r="C331" s="523">
        <v>10</v>
      </c>
      <c r="D331" s="524">
        <v>7277.3744122283551</v>
      </c>
    </row>
    <row r="332" spans="1:4">
      <c r="A332" s="516" t="s">
        <v>1831</v>
      </c>
      <c r="B332" s="522">
        <v>40712</v>
      </c>
      <c r="C332" s="523">
        <v>10</v>
      </c>
      <c r="D332" s="524">
        <v>187.02202082108533</v>
      </c>
    </row>
    <row r="333" spans="1:4">
      <c r="A333" s="516" t="s">
        <v>1831</v>
      </c>
      <c r="B333" s="522">
        <v>40816</v>
      </c>
      <c r="C333" s="523">
        <v>10</v>
      </c>
      <c r="D333" s="524">
        <v>17349.851442184969</v>
      </c>
    </row>
    <row r="334" spans="1:4">
      <c r="A334" s="516" t="s">
        <v>1831</v>
      </c>
      <c r="B334" s="522">
        <v>40830</v>
      </c>
      <c r="C334" s="523">
        <v>10</v>
      </c>
      <c r="D334" s="524">
        <v>17357.886313021914</v>
      </c>
    </row>
    <row r="335" spans="1:4">
      <c r="A335" s="516" t="s">
        <v>1831</v>
      </c>
      <c r="B335" s="522">
        <v>40862</v>
      </c>
      <c r="C335" s="523">
        <v>10</v>
      </c>
      <c r="D335" s="524">
        <v>28871.060816117424</v>
      </c>
    </row>
    <row r="336" spans="1:4">
      <c r="A336" s="516" t="s">
        <v>1831</v>
      </c>
      <c r="B336" s="522">
        <v>40877</v>
      </c>
      <c r="C336" s="523">
        <v>10</v>
      </c>
      <c r="D336" s="524">
        <v>30107.852616826109</v>
      </c>
    </row>
    <row r="337" spans="1:4">
      <c r="A337" s="516" t="s">
        <v>1831</v>
      </c>
      <c r="B337" s="522">
        <v>40915</v>
      </c>
      <c r="C337" s="523">
        <v>10</v>
      </c>
      <c r="D337" s="524">
        <v>15119.814864160886</v>
      </c>
    </row>
    <row r="338" spans="1:4">
      <c r="A338" s="516" t="s">
        <v>1831</v>
      </c>
      <c r="B338" s="522">
        <v>40977</v>
      </c>
      <c r="C338" s="523">
        <v>10</v>
      </c>
      <c r="D338" s="524">
        <v>8481.6507578255514</v>
      </c>
    </row>
    <row r="339" spans="1:4">
      <c r="A339" s="516" t="s">
        <v>1831</v>
      </c>
      <c r="B339" s="522">
        <v>40754</v>
      </c>
      <c r="C339" s="523">
        <v>10</v>
      </c>
      <c r="D339" s="524">
        <v>2751.2127975009598</v>
      </c>
    </row>
    <row r="340" spans="1:4">
      <c r="A340" s="516" t="s">
        <v>1831</v>
      </c>
      <c r="B340" s="522">
        <v>40813</v>
      </c>
      <c r="C340" s="523">
        <v>10</v>
      </c>
      <c r="D340" s="524">
        <v>194.53872635767766</v>
      </c>
    </row>
    <row r="341" spans="1:4">
      <c r="A341" s="516" t="s">
        <v>1831</v>
      </c>
      <c r="B341" s="522">
        <v>40877</v>
      </c>
      <c r="C341" s="523">
        <v>10</v>
      </c>
      <c r="D341" s="524">
        <v>972.70110246262016</v>
      </c>
    </row>
    <row r="342" spans="1:4">
      <c r="A342" s="516" t="s">
        <v>1831</v>
      </c>
      <c r="B342" s="522">
        <v>40877</v>
      </c>
      <c r="C342" s="523">
        <v>10</v>
      </c>
      <c r="D342" s="524">
        <v>6531.5438311918424</v>
      </c>
    </row>
    <row r="343" spans="1:4">
      <c r="A343" s="516" t="s">
        <v>1832</v>
      </c>
      <c r="B343" s="522">
        <v>40785</v>
      </c>
      <c r="C343" s="523">
        <v>10</v>
      </c>
      <c r="D343" s="524">
        <v>2041.2264015794426</v>
      </c>
    </row>
    <row r="344" spans="1:4">
      <c r="A344" s="516" t="s">
        <v>1832</v>
      </c>
      <c r="B344" s="522">
        <v>40823</v>
      </c>
      <c r="C344" s="523">
        <v>10</v>
      </c>
      <c r="D344" s="524">
        <v>26834.874437235412</v>
      </c>
    </row>
    <row r="345" spans="1:4">
      <c r="A345" s="516" t="s">
        <v>1832</v>
      </c>
      <c r="B345" s="522">
        <v>40835</v>
      </c>
      <c r="C345" s="523">
        <v>10</v>
      </c>
      <c r="D345" s="524">
        <v>197816.37478596758</v>
      </c>
    </row>
    <row r="346" spans="1:4">
      <c r="A346" s="516" t="s">
        <v>1832</v>
      </c>
      <c r="B346" s="522">
        <v>40952</v>
      </c>
      <c r="C346" s="523">
        <v>10</v>
      </c>
      <c r="D346" s="524">
        <v>34075.962752847729</v>
      </c>
    </row>
    <row r="347" spans="1:4">
      <c r="A347" s="516" t="s">
        <v>1832</v>
      </c>
      <c r="B347" s="522">
        <v>40952</v>
      </c>
      <c r="C347" s="523">
        <v>10</v>
      </c>
      <c r="D347" s="524">
        <v>107137.63061340759</v>
      </c>
    </row>
    <row r="348" spans="1:4">
      <c r="A348" s="516" t="s">
        <v>1832</v>
      </c>
      <c r="B348" s="522">
        <v>40959</v>
      </c>
      <c r="C348" s="523">
        <v>10</v>
      </c>
      <c r="D348" s="524">
        <v>7459.5269058575914</v>
      </c>
    </row>
    <row r="349" spans="1:4">
      <c r="A349" s="516" t="s">
        <v>1832</v>
      </c>
      <c r="B349" s="522">
        <v>40963</v>
      </c>
      <c r="C349" s="523">
        <v>10</v>
      </c>
      <c r="D349" s="524">
        <v>29525.902087694038</v>
      </c>
    </row>
    <row r="350" spans="1:4">
      <c r="A350" s="516" t="s">
        <v>1831</v>
      </c>
      <c r="B350" s="522">
        <v>41016</v>
      </c>
      <c r="C350" s="523">
        <v>10</v>
      </c>
      <c r="D350" s="524">
        <v>24.803577997275205</v>
      </c>
    </row>
    <row r="351" spans="1:4">
      <c r="A351" s="516" t="s">
        <v>1831</v>
      </c>
      <c r="B351" s="522">
        <v>41029</v>
      </c>
      <c r="C351" s="523">
        <v>10</v>
      </c>
      <c r="D351" s="524">
        <v>55.852791818921688</v>
      </c>
    </row>
    <row r="352" spans="1:4">
      <c r="A352" s="516" t="s">
        <v>1831</v>
      </c>
      <c r="B352" s="522">
        <v>41029</v>
      </c>
      <c r="C352" s="523">
        <v>10</v>
      </c>
      <c r="D352" s="524">
        <v>15.685969257375385</v>
      </c>
    </row>
    <row r="353" spans="1:4">
      <c r="A353" s="516" t="s">
        <v>1831</v>
      </c>
      <c r="B353" s="522">
        <v>41029</v>
      </c>
      <c r="C353" s="523">
        <v>10</v>
      </c>
      <c r="D353" s="524">
        <v>6810.6399694811807</v>
      </c>
    </row>
    <row r="354" spans="1:4">
      <c r="A354" s="516" t="s">
        <v>1831</v>
      </c>
      <c r="B354" s="522">
        <v>41029</v>
      </c>
      <c r="C354" s="523">
        <v>10</v>
      </c>
      <c r="D354" s="524">
        <v>393.1525635808764</v>
      </c>
    </row>
    <row r="355" spans="1:4">
      <c r="A355" s="516" t="s">
        <v>1831</v>
      </c>
      <c r="B355" s="522">
        <v>41029</v>
      </c>
      <c r="C355" s="523">
        <v>10</v>
      </c>
      <c r="D355" s="524">
        <v>393.1525635808764</v>
      </c>
    </row>
    <row r="356" spans="1:4">
      <c r="A356" s="516" t="s">
        <v>1831</v>
      </c>
      <c r="B356" s="522">
        <v>41187</v>
      </c>
      <c r="C356" s="523">
        <v>10</v>
      </c>
      <c r="D356" s="524">
        <v>20076.141448342452</v>
      </c>
    </row>
    <row r="357" spans="1:4">
      <c r="A357" s="516" t="s">
        <v>1831</v>
      </c>
      <c r="B357" s="522">
        <v>41218</v>
      </c>
      <c r="C357" s="523">
        <v>10</v>
      </c>
      <c r="D357" s="524">
        <v>3914.0789283556405</v>
      </c>
    </row>
    <row r="358" spans="1:4">
      <c r="A358" s="516" t="s">
        <v>1831</v>
      </c>
      <c r="B358" s="522">
        <v>41048</v>
      </c>
      <c r="C358" s="523">
        <v>10</v>
      </c>
      <c r="D358" s="524">
        <v>133.30543935309987</v>
      </c>
    </row>
    <row r="359" spans="1:4">
      <c r="A359" s="516" t="s">
        <v>1831</v>
      </c>
      <c r="B359" s="522">
        <v>41048</v>
      </c>
      <c r="C359" s="523">
        <v>10</v>
      </c>
      <c r="D359" s="524">
        <v>1510.9133525943407</v>
      </c>
    </row>
    <row r="360" spans="1:4">
      <c r="A360" s="516" t="s">
        <v>1831</v>
      </c>
      <c r="B360" s="522">
        <v>41090</v>
      </c>
      <c r="C360" s="523">
        <v>10</v>
      </c>
      <c r="D360" s="524">
        <v>5050.0755481727592</v>
      </c>
    </row>
    <row r="361" spans="1:4">
      <c r="A361" s="516" t="s">
        <v>1831</v>
      </c>
      <c r="B361" s="522">
        <v>41090</v>
      </c>
      <c r="C361" s="523">
        <v>10</v>
      </c>
      <c r="D361" s="524">
        <v>18215.554119601329</v>
      </c>
    </row>
    <row r="362" spans="1:4">
      <c r="A362" s="516" t="s">
        <v>1831</v>
      </c>
      <c r="B362" s="522">
        <v>41273</v>
      </c>
      <c r="C362" s="523">
        <v>10</v>
      </c>
      <c r="D362" s="524">
        <v>10011.851569057313</v>
      </c>
    </row>
    <row r="363" spans="1:4">
      <c r="A363" s="516" t="s">
        <v>1831</v>
      </c>
      <c r="B363" s="522">
        <v>41273</v>
      </c>
      <c r="C363" s="523">
        <v>10</v>
      </c>
      <c r="D363" s="524">
        <v>10011.851569057313</v>
      </c>
    </row>
    <row r="364" spans="1:4">
      <c r="A364" s="516" t="s">
        <v>1831</v>
      </c>
      <c r="B364" s="522">
        <v>41288</v>
      </c>
      <c r="C364" s="523">
        <v>10</v>
      </c>
      <c r="D364" s="524">
        <v>5432.4852587281794</v>
      </c>
    </row>
    <row r="365" spans="1:4">
      <c r="A365" s="516" t="s">
        <v>1831</v>
      </c>
      <c r="B365" s="522">
        <v>41334</v>
      </c>
      <c r="C365" s="523">
        <v>10</v>
      </c>
      <c r="D365" s="524">
        <v>2344.9132575291951</v>
      </c>
    </row>
    <row r="366" spans="1:4">
      <c r="A366" s="516" t="s">
        <v>1831</v>
      </c>
      <c r="B366" s="522">
        <v>41333</v>
      </c>
      <c r="C366" s="523">
        <v>10</v>
      </c>
      <c r="D366" s="524">
        <v>3076.6483240086072</v>
      </c>
    </row>
    <row r="367" spans="1:4">
      <c r="A367" s="516" t="s">
        <v>1831</v>
      </c>
      <c r="B367" s="522">
        <v>41345</v>
      </c>
      <c r="C367" s="523">
        <v>10</v>
      </c>
      <c r="D367" s="524">
        <v>26752.548882082694</v>
      </c>
    </row>
    <row r="368" spans="1:4">
      <c r="A368" s="516" t="s">
        <v>1832</v>
      </c>
      <c r="B368" s="522">
        <v>41121</v>
      </c>
      <c r="C368" s="523">
        <v>10</v>
      </c>
      <c r="D368" s="524">
        <v>1103.9660177573169</v>
      </c>
    </row>
    <row r="369" spans="1:4">
      <c r="A369" s="516" t="s">
        <v>1832</v>
      </c>
      <c r="B369" s="522">
        <v>41121</v>
      </c>
      <c r="C369" s="523">
        <v>10</v>
      </c>
      <c r="D369" s="524">
        <v>45758.135439000325</v>
      </c>
    </row>
    <row r="370" spans="1:4">
      <c r="A370" s="516" t="s">
        <v>1832</v>
      </c>
      <c r="B370" s="522">
        <v>41138</v>
      </c>
      <c r="C370" s="523">
        <v>10</v>
      </c>
      <c r="D370" s="524">
        <v>2798.0855642985607</v>
      </c>
    </row>
    <row r="371" spans="1:4">
      <c r="A371" s="516" t="s">
        <v>1832</v>
      </c>
      <c r="B371" s="522">
        <v>41223</v>
      </c>
      <c r="C371" s="523">
        <v>10</v>
      </c>
      <c r="D371" s="524">
        <v>6933.3531275851092</v>
      </c>
    </row>
    <row r="372" spans="1:4">
      <c r="A372" s="516" t="s">
        <v>1832</v>
      </c>
      <c r="B372" s="522">
        <v>41213</v>
      </c>
      <c r="C372" s="523">
        <v>10</v>
      </c>
      <c r="D372" s="524">
        <v>7489.3862918129598</v>
      </c>
    </row>
    <row r="373" spans="1:4">
      <c r="A373" s="516" t="s">
        <v>1831</v>
      </c>
      <c r="B373" s="522">
        <v>41381</v>
      </c>
      <c r="C373" s="523">
        <v>10</v>
      </c>
      <c r="D373" s="524">
        <v>3762.9266282944559</v>
      </c>
    </row>
    <row r="374" spans="1:4">
      <c r="A374" s="516" t="s">
        <v>1831</v>
      </c>
      <c r="B374" s="522">
        <v>41381</v>
      </c>
      <c r="C374" s="523">
        <v>10</v>
      </c>
      <c r="D374" s="524">
        <v>3536.5975916388975</v>
      </c>
    </row>
    <row r="375" spans="1:4">
      <c r="A375" s="516" t="s">
        <v>1831</v>
      </c>
      <c r="B375" s="522">
        <v>41381</v>
      </c>
      <c r="C375" s="523">
        <v>10</v>
      </c>
      <c r="D375" s="524">
        <v>3536.5975916388975</v>
      </c>
    </row>
    <row r="376" spans="1:4">
      <c r="A376" s="516" t="s">
        <v>1831</v>
      </c>
      <c r="B376" s="522">
        <v>42074</v>
      </c>
      <c r="C376" s="523">
        <v>10</v>
      </c>
      <c r="D376" s="524">
        <v>7117.3661315068493</v>
      </c>
    </row>
    <row r="377" spans="1:4">
      <c r="A377" s="516" t="s">
        <v>1831</v>
      </c>
      <c r="B377" s="522">
        <v>42013</v>
      </c>
      <c r="C377" s="523">
        <v>10</v>
      </c>
      <c r="D377" s="524">
        <v>2195.0213150684931</v>
      </c>
    </row>
    <row r="378" spans="1:4">
      <c r="A378" s="516" t="s">
        <v>1831</v>
      </c>
      <c r="B378" s="522">
        <v>39760</v>
      </c>
      <c r="C378" s="523">
        <v>10</v>
      </c>
      <c r="D378" s="524">
        <v>6972.1142190935225</v>
      </c>
    </row>
    <row r="379" spans="1:4">
      <c r="A379" s="516" t="s">
        <v>1831</v>
      </c>
      <c r="B379" s="522">
        <v>39930</v>
      </c>
      <c r="C379" s="417"/>
      <c r="D379" s="524">
        <v>228.98400000000001</v>
      </c>
    </row>
    <row r="380" spans="1:4">
      <c r="A380" s="516" t="s">
        <v>1831</v>
      </c>
      <c r="B380" s="522">
        <v>39930</v>
      </c>
      <c r="C380" s="417"/>
      <c r="D380" s="524">
        <v>213.19200000000001</v>
      </c>
    </row>
    <row r="381" spans="1:4">
      <c r="A381" s="516" t="s">
        <v>1831</v>
      </c>
      <c r="B381" s="522">
        <v>39944</v>
      </c>
      <c r="C381" s="417"/>
      <c r="D381" s="524">
        <v>144.2336</v>
      </c>
    </row>
    <row r="382" spans="1:4">
      <c r="A382" s="516" t="s">
        <v>1831</v>
      </c>
      <c r="B382" s="522">
        <v>40074</v>
      </c>
      <c r="C382" s="417"/>
      <c r="D382" s="524">
        <v>315.83999999999997</v>
      </c>
    </row>
    <row r="383" spans="1:4">
      <c r="A383" s="516" t="s">
        <v>1831</v>
      </c>
      <c r="B383" s="522">
        <v>40197</v>
      </c>
      <c r="C383" s="417"/>
      <c r="D383" s="524">
        <v>684.32</v>
      </c>
    </row>
    <row r="384" spans="1:4">
      <c r="A384" s="516" t="s">
        <v>1831</v>
      </c>
      <c r="B384" s="522">
        <v>39967</v>
      </c>
      <c r="C384" s="417"/>
      <c r="D384" s="524">
        <v>684.32</v>
      </c>
    </row>
    <row r="385" spans="1:4">
      <c r="A385" s="516" t="s">
        <v>1831</v>
      </c>
      <c r="B385" s="522">
        <v>39967</v>
      </c>
      <c r="C385" s="417"/>
      <c r="D385" s="524">
        <v>684.32</v>
      </c>
    </row>
    <row r="386" spans="1:4">
      <c r="A386" s="516" t="s">
        <v>1831</v>
      </c>
      <c r="B386" s="522">
        <v>39951</v>
      </c>
      <c r="C386" s="417"/>
      <c r="D386" s="524">
        <v>712.2192</v>
      </c>
    </row>
    <row r="387" spans="1:4">
      <c r="A387" s="516" t="s">
        <v>1831</v>
      </c>
      <c r="B387" s="522">
        <v>40029</v>
      </c>
      <c r="C387" s="417"/>
      <c r="D387" s="524">
        <v>605.36</v>
      </c>
    </row>
    <row r="388" spans="1:4">
      <c r="A388" s="516" t="s">
        <v>1831</v>
      </c>
      <c r="B388" s="522">
        <v>40000</v>
      </c>
      <c r="C388" s="417"/>
      <c r="D388" s="524">
        <v>763.28</v>
      </c>
    </row>
    <row r="389" spans="1:4">
      <c r="A389" s="516" t="s">
        <v>1831</v>
      </c>
      <c r="B389" s="522">
        <v>40002</v>
      </c>
      <c r="C389" s="417"/>
      <c r="D389" s="524">
        <v>629.57439999999997</v>
      </c>
    </row>
    <row r="390" spans="1:4">
      <c r="A390" s="516" t="s">
        <v>1831</v>
      </c>
      <c r="B390" s="522">
        <v>40024</v>
      </c>
      <c r="C390" s="417"/>
      <c r="D390" s="524">
        <v>605.36</v>
      </c>
    </row>
    <row r="391" spans="1:4">
      <c r="A391" s="516" t="s">
        <v>1831</v>
      </c>
      <c r="B391" s="522">
        <v>40053</v>
      </c>
      <c r="C391" s="417"/>
      <c r="D391" s="524">
        <v>1309.42</v>
      </c>
    </row>
    <row r="392" spans="1:4">
      <c r="A392" s="516" t="s">
        <v>1831</v>
      </c>
      <c r="B392" s="522">
        <v>40065</v>
      </c>
      <c r="C392" s="417"/>
      <c r="D392" s="524">
        <v>1279.6784</v>
      </c>
    </row>
    <row r="393" spans="1:4">
      <c r="A393" s="516" t="s">
        <v>1831</v>
      </c>
      <c r="B393" s="522">
        <v>40114</v>
      </c>
      <c r="C393" s="417"/>
      <c r="D393" s="524">
        <v>371.11200000000002</v>
      </c>
    </row>
    <row r="394" spans="1:4">
      <c r="A394" s="516" t="s">
        <v>1831</v>
      </c>
      <c r="B394" s="522">
        <v>40115</v>
      </c>
      <c r="C394" s="417"/>
      <c r="D394" s="524">
        <v>1073.856</v>
      </c>
    </row>
    <row r="395" spans="1:4">
      <c r="A395" s="516" t="s">
        <v>1831</v>
      </c>
      <c r="B395" s="522">
        <v>40147</v>
      </c>
      <c r="C395" s="417"/>
      <c r="D395" s="524">
        <v>1105.44</v>
      </c>
    </row>
    <row r="396" spans="1:4">
      <c r="A396" s="516" t="s">
        <v>1831</v>
      </c>
      <c r="B396" s="522">
        <v>40098</v>
      </c>
      <c r="C396" s="417"/>
      <c r="D396" s="524">
        <v>973.84</v>
      </c>
    </row>
    <row r="397" spans="1:4">
      <c r="A397" s="516" t="s">
        <v>1831</v>
      </c>
      <c r="B397" s="522">
        <v>40183</v>
      </c>
      <c r="C397" s="417"/>
      <c r="D397" s="524">
        <v>1010.688</v>
      </c>
    </row>
    <row r="398" spans="1:4">
      <c r="A398" s="516" t="s">
        <v>1831</v>
      </c>
      <c r="B398" s="522">
        <v>40309</v>
      </c>
      <c r="C398" s="417"/>
      <c r="D398" s="524">
        <v>993.42</v>
      </c>
    </row>
    <row r="399" spans="1:4">
      <c r="A399" s="516" t="s">
        <v>1831</v>
      </c>
      <c r="B399" s="522">
        <v>41186</v>
      </c>
      <c r="C399" s="417"/>
      <c r="D399" s="524">
        <v>191.88</v>
      </c>
    </row>
    <row r="400" spans="1:4">
      <c r="A400" s="516" t="s">
        <v>1831</v>
      </c>
      <c r="B400" s="420">
        <v>39903</v>
      </c>
      <c r="C400" s="417"/>
      <c r="D400" s="417"/>
    </row>
    <row r="1619" ht="89.25" customHeight="1"/>
  </sheetData>
  <mergeCells count="2">
    <mergeCell ref="A1:C1"/>
    <mergeCell ref="A147:C147"/>
  </mergeCells>
  <pageMargins left="0.5" right="0.43" top="0.67" bottom="0.42" header="6.35" footer="0.3"/>
  <pageSetup paperSize="5" scale="80" orientation="portrait" r:id="rId1"/>
  <rowBreaks count="6" manualBreakCount="6">
    <brk id="74" max="2" man="1"/>
    <brk id="144" max="16383" man="1"/>
    <brk id="218" max="2" man="1"/>
    <brk id="296" max="2" man="1"/>
    <brk id="374" max="2" man="1"/>
    <brk id="400" max="2" man="1"/>
  </rowBreaks>
  <colBreaks count="2" manualBreakCount="2">
    <brk id="4" max="1990" man="1"/>
    <brk id="7" max="1048575" man="1"/>
  </colBreaks>
</worksheet>
</file>

<file path=xl/worksheets/sheet8.xml><?xml version="1.0" encoding="utf-8"?>
<worksheet xmlns="http://schemas.openxmlformats.org/spreadsheetml/2006/main" xmlns:r="http://schemas.openxmlformats.org/officeDocument/2006/relationships">
  <sheetPr>
    <tabColor rgb="FFFF0000"/>
  </sheetPr>
  <dimension ref="B1:O25"/>
  <sheetViews>
    <sheetView topLeftCell="A7" workbookViewId="0">
      <selection activeCell="K11" sqref="K11"/>
    </sheetView>
  </sheetViews>
  <sheetFormatPr defaultRowHeight="15"/>
  <cols>
    <col min="1" max="1" width="2.85546875" customWidth="1"/>
    <col min="2" max="2" width="6" customWidth="1"/>
    <col min="3" max="3" width="11.5703125" bestFit="1" customWidth="1"/>
    <col min="4" max="4" width="28.140625" customWidth="1"/>
    <col min="5" max="5" width="16" customWidth="1"/>
    <col min="6" max="6" width="29.42578125" customWidth="1"/>
    <col min="7" max="7" width="17.140625" customWidth="1"/>
    <col min="8" max="8" width="22" bestFit="1" customWidth="1"/>
    <col min="9" max="9" width="17" customWidth="1"/>
    <col min="11" max="12" width="12.5703125" bestFit="1" customWidth="1"/>
  </cols>
  <sheetData>
    <row r="1" spans="2:15">
      <c r="C1" s="99"/>
      <c r="D1" s="99"/>
      <c r="E1" s="99"/>
      <c r="F1" s="99"/>
      <c r="G1" s="99"/>
    </row>
    <row r="2" spans="2:15" ht="15.75">
      <c r="B2" s="129"/>
      <c r="C2" s="29"/>
      <c r="D2" s="29"/>
      <c r="E2" s="29"/>
      <c r="F2" s="29"/>
      <c r="G2" s="29"/>
      <c r="H2" s="1435" t="s">
        <v>251</v>
      </c>
      <c r="I2" s="1435"/>
    </row>
    <row r="3" spans="2:15" ht="18.75">
      <c r="B3" s="1419" t="s">
        <v>75</v>
      </c>
      <c r="C3" s="1419"/>
      <c r="D3" s="1419"/>
      <c r="E3" s="1419"/>
      <c r="F3" s="1419"/>
      <c r="G3" s="1419"/>
      <c r="H3" s="1419"/>
      <c r="I3" s="1419"/>
    </row>
    <row r="4" spans="2:15" ht="15.75">
      <c r="B4" s="1437" t="s">
        <v>85</v>
      </c>
      <c r="C4" s="1437"/>
      <c r="D4" s="1437"/>
      <c r="E4" s="1437"/>
      <c r="F4" s="1437"/>
      <c r="G4" s="1437"/>
      <c r="H4" s="1437"/>
      <c r="I4" s="1437"/>
    </row>
    <row r="5" spans="2:15" ht="15.75">
      <c r="B5" s="1"/>
      <c r="C5" s="1"/>
      <c r="D5" s="2"/>
      <c r="E5" s="3"/>
      <c r="F5" s="108"/>
      <c r="G5" s="42"/>
      <c r="H5" s="113"/>
      <c r="I5" s="27"/>
    </row>
    <row r="6" spans="2:15" ht="16.5" thickBot="1">
      <c r="B6" s="1"/>
      <c r="C6" s="1"/>
      <c r="D6" s="2"/>
      <c r="E6" s="3"/>
      <c r="F6" s="108"/>
      <c r="G6" s="42"/>
    </row>
    <row r="7" spans="2:15" ht="21">
      <c r="B7" s="1424" t="s">
        <v>76</v>
      </c>
      <c r="C7" s="1425"/>
      <c r="D7" s="1425"/>
      <c r="E7" s="1425"/>
      <c r="F7" s="319" t="s">
        <v>258</v>
      </c>
      <c r="G7" s="135"/>
      <c r="H7" s="29"/>
      <c r="K7" s="174"/>
      <c r="L7" s="174"/>
      <c r="M7" s="219"/>
      <c r="N7" s="219"/>
      <c r="O7" s="301"/>
    </row>
    <row r="8" spans="2:15" ht="21">
      <c r="B8" s="1426" t="s">
        <v>77</v>
      </c>
      <c r="C8" s="1427"/>
      <c r="D8" s="1427"/>
      <c r="E8" s="1427"/>
      <c r="F8" s="317" t="s">
        <v>366</v>
      </c>
      <c r="G8" s="135"/>
      <c r="H8" s="29"/>
      <c r="K8" s="174"/>
      <c r="L8" s="174"/>
      <c r="M8" s="219"/>
      <c r="N8" s="219"/>
      <c r="O8" s="301"/>
    </row>
    <row r="9" spans="2:15" ht="15.75">
      <c r="B9" s="1426" t="s">
        <v>78</v>
      </c>
      <c r="C9" s="1427"/>
      <c r="D9" s="1427"/>
      <c r="E9" s="1427"/>
      <c r="F9" s="314">
        <v>43133</v>
      </c>
      <c r="G9" s="135"/>
      <c r="H9" s="29"/>
    </row>
    <row r="10" spans="2:15" ht="15.75">
      <c r="B10" s="1426" t="s">
        <v>183</v>
      </c>
      <c r="C10" s="1427"/>
      <c r="D10" s="1427"/>
      <c r="E10" s="1427"/>
      <c r="F10" s="314">
        <v>43314</v>
      </c>
      <c r="G10" s="135"/>
      <c r="H10" s="29"/>
    </row>
    <row r="11" spans="2:15" ht="15.75">
      <c r="B11" s="1426" t="s">
        <v>184</v>
      </c>
      <c r="C11" s="1427"/>
      <c r="D11" s="1427"/>
      <c r="E11" s="1427"/>
      <c r="F11" s="315">
        <v>43014</v>
      </c>
      <c r="G11" s="135"/>
      <c r="H11" s="29"/>
    </row>
    <row r="12" spans="2:15" ht="15.75">
      <c r="B12" s="1426" t="s">
        <v>97</v>
      </c>
      <c r="C12" s="1427"/>
      <c r="D12" s="1427"/>
      <c r="E12" s="1427"/>
      <c r="F12" s="317" t="s">
        <v>259</v>
      </c>
      <c r="G12" s="135"/>
      <c r="H12" s="29"/>
    </row>
    <row r="13" spans="2:15" ht="15.75">
      <c r="B13" s="1426" t="s">
        <v>98</v>
      </c>
      <c r="C13" s="1427"/>
      <c r="D13" s="1427"/>
      <c r="E13" s="1427"/>
      <c r="F13" s="320" t="s">
        <v>260</v>
      </c>
      <c r="G13" s="135"/>
      <c r="H13" s="29"/>
    </row>
    <row r="14" spans="2:15" ht="16.5" thickBot="1">
      <c r="B14" s="1428" t="s">
        <v>79</v>
      </c>
      <c r="C14" s="1429"/>
      <c r="D14" s="1429"/>
      <c r="E14" s="1429"/>
      <c r="F14" s="318" t="s">
        <v>110</v>
      </c>
      <c r="G14" s="135"/>
      <c r="H14" s="29"/>
    </row>
    <row r="15" spans="2:15" ht="15.75">
      <c r="B15" s="5"/>
      <c r="C15" s="99"/>
      <c r="D15" s="21"/>
      <c r="E15" s="5"/>
      <c r="F15" s="133"/>
      <c r="G15" s="134"/>
      <c r="H15" s="135"/>
      <c r="I15" s="29"/>
    </row>
    <row r="16" spans="2:15" s="99" customFormat="1" ht="15.75">
      <c r="B16" s="1436" t="s">
        <v>175</v>
      </c>
      <c r="C16" s="1436"/>
      <c r="D16" s="1436"/>
      <c r="E16" s="1436"/>
      <c r="F16" s="1436"/>
      <c r="G16" s="1436"/>
      <c r="H16" s="1436"/>
      <c r="I16" s="1436"/>
    </row>
    <row r="17" spans="2:12" s="99" customFormat="1" ht="15.75">
      <c r="B17" s="326"/>
      <c r="C17" s="326"/>
      <c r="D17" s="326" t="s">
        <v>365</v>
      </c>
      <c r="E17" s="352" t="s">
        <v>185</v>
      </c>
      <c r="F17" s="326"/>
      <c r="G17" s="326"/>
      <c r="H17" s="326"/>
      <c r="I17" s="326"/>
    </row>
    <row r="18" spans="2:12" s="99" customFormat="1" ht="16.5" thickBot="1">
      <c r="B18" s="117"/>
      <c r="C18" s="117"/>
      <c r="D18" s="117"/>
      <c r="E18" s="227"/>
      <c r="F18" s="227"/>
      <c r="G18" s="227"/>
      <c r="H18" s="227"/>
      <c r="I18" s="227" t="s">
        <v>54</v>
      </c>
    </row>
    <row r="19" spans="2:12" s="53" customFormat="1" ht="48" thickBot="1">
      <c r="B19" s="35" t="s">
        <v>55</v>
      </c>
      <c r="C19" s="35" t="s">
        <v>56</v>
      </c>
      <c r="D19" s="35" t="s">
        <v>57</v>
      </c>
      <c r="E19" s="35" t="s">
        <v>252</v>
      </c>
      <c r="F19" s="35" t="s">
        <v>253</v>
      </c>
      <c r="G19" s="35" t="s">
        <v>53</v>
      </c>
      <c r="H19" s="35" t="s">
        <v>59</v>
      </c>
      <c r="I19" s="35" t="s">
        <v>163</v>
      </c>
    </row>
    <row r="20" spans="2:12" ht="15.75">
      <c r="B20" s="44"/>
      <c r="C20" s="44"/>
      <c r="D20" s="61"/>
      <c r="E20" s="226"/>
      <c r="F20" s="62"/>
      <c r="G20" s="116"/>
      <c r="H20" s="62"/>
      <c r="I20" s="114"/>
      <c r="K20" s="304"/>
      <c r="L20" s="115"/>
    </row>
    <row r="21" spans="2:12" ht="16.5" thickBot="1">
      <c r="B21" s="213"/>
      <c r="C21" s="218"/>
      <c r="D21" s="214"/>
      <c r="E21" s="215"/>
      <c r="F21" s="215"/>
      <c r="G21" s="216"/>
      <c r="H21" s="215"/>
      <c r="I21" s="217"/>
      <c r="K21" s="115"/>
      <c r="L21" s="115"/>
    </row>
    <row r="22" spans="2:12" ht="16.5" thickBot="1">
      <c r="B22" s="34"/>
      <c r="C22" s="39"/>
      <c r="D22" s="38"/>
      <c r="E22" s="46"/>
      <c r="F22" s="47"/>
      <c r="G22" s="48">
        <f>F22</f>
        <v>0</v>
      </c>
      <c r="H22" s="47"/>
      <c r="I22" s="49"/>
    </row>
    <row r="23" spans="2:12" ht="16.5" thickBot="1">
      <c r="B23" s="50"/>
      <c r="C23" s="39"/>
      <c r="D23" s="35" t="s">
        <v>186</v>
      </c>
      <c r="E23" s="51">
        <f>SUM(E20:E22)</f>
        <v>0</v>
      </c>
      <c r="F23" s="51">
        <f>SUM(F20:F22)</f>
        <v>0</v>
      </c>
      <c r="G23" s="51">
        <f>SUM(G20:G22)</f>
        <v>0</v>
      </c>
      <c r="H23" s="51">
        <f>SUM(H20:H22)</f>
        <v>0</v>
      </c>
      <c r="I23" s="52"/>
    </row>
    <row r="25" spans="2:12">
      <c r="D25" s="357" t="s">
        <v>367</v>
      </c>
    </row>
  </sheetData>
  <mergeCells count="12">
    <mergeCell ref="H2:I2"/>
    <mergeCell ref="B16:I16"/>
    <mergeCell ref="B3:I3"/>
    <mergeCell ref="B4:I4"/>
    <mergeCell ref="B7:E7"/>
    <mergeCell ref="B8:E8"/>
    <mergeCell ref="B9:E9"/>
    <mergeCell ref="B10:E10"/>
    <mergeCell ref="B11:E11"/>
    <mergeCell ref="B12:E12"/>
    <mergeCell ref="B13:E13"/>
    <mergeCell ref="B14:E14"/>
  </mergeCells>
  <pageMargins left="0.70866141732283505" right="0.27" top="0.85" bottom="0.74803149606299202" header="0.31496062992126" footer="0.31496062992126"/>
  <pageSetup paperSize="9" scale="92" orientation="landscape" r:id="rId1"/>
</worksheet>
</file>

<file path=xl/worksheets/sheet9.xml><?xml version="1.0" encoding="utf-8"?>
<worksheet xmlns="http://schemas.openxmlformats.org/spreadsheetml/2006/main" xmlns:r="http://schemas.openxmlformats.org/officeDocument/2006/relationships">
  <sheetPr>
    <tabColor rgb="FFFF0000"/>
  </sheetPr>
  <dimension ref="B1:I20"/>
  <sheetViews>
    <sheetView topLeftCell="A4" workbookViewId="0">
      <selection activeCell="E19" sqref="E19"/>
    </sheetView>
  </sheetViews>
  <sheetFormatPr defaultColWidth="11.140625" defaultRowHeight="15"/>
  <cols>
    <col min="1" max="1" width="4.5703125" customWidth="1"/>
    <col min="2" max="2" width="8.42578125" customWidth="1"/>
    <col min="3" max="3" width="11.5703125" bestFit="1" customWidth="1"/>
    <col min="4" max="4" width="34.7109375" customWidth="1"/>
    <col min="5" max="5" width="20.5703125" customWidth="1"/>
    <col min="6" max="6" width="26.7109375" customWidth="1"/>
    <col min="7" max="7" width="13" style="110" customWidth="1"/>
    <col min="8" max="8" width="13.5703125" style="112" customWidth="1"/>
    <col min="9" max="9" width="17" bestFit="1" customWidth="1"/>
  </cols>
  <sheetData>
    <row r="1" spans="2:9" ht="15.75">
      <c r="B1" s="8"/>
      <c r="C1" s="27"/>
      <c r="D1" s="27"/>
      <c r="E1" s="43"/>
      <c r="F1" s="27"/>
      <c r="G1" s="108"/>
      <c r="H1" s="42"/>
      <c r="I1" s="197"/>
    </row>
    <row r="2" spans="2:9" ht="18.75">
      <c r="B2" s="1419" t="s">
        <v>75</v>
      </c>
      <c r="C2" s="1419"/>
      <c r="D2" s="1419"/>
      <c r="E2" s="1419"/>
      <c r="F2" s="1419"/>
      <c r="G2" s="1419"/>
      <c r="H2" s="1419"/>
      <c r="I2" s="1419"/>
    </row>
    <row r="3" spans="2:9" ht="15.75">
      <c r="B3" s="1437" t="s">
        <v>85</v>
      </c>
      <c r="C3" s="1437"/>
      <c r="D3" s="1437"/>
      <c r="E3" s="1437"/>
      <c r="F3" s="1437"/>
      <c r="G3" s="1437"/>
      <c r="H3" s="1437"/>
      <c r="I3" s="1437"/>
    </row>
    <row r="4" spans="2:9" ht="15.75">
      <c r="B4" s="1"/>
      <c r="C4" s="1"/>
      <c r="D4" s="2"/>
      <c r="E4" s="3"/>
      <c r="F4" s="27"/>
      <c r="G4" s="108"/>
      <c r="H4" s="42"/>
      <c r="I4" s="27"/>
    </row>
    <row r="5" spans="2:9" ht="16.5" thickBot="1">
      <c r="B5" s="1"/>
      <c r="C5" s="1"/>
      <c r="D5" s="2"/>
      <c r="E5" s="3"/>
      <c r="F5" s="27"/>
      <c r="G5" s="108"/>
      <c r="H5" s="42"/>
    </row>
    <row r="6" spans="2:9" ht="15.75">
      <c r="B6" s="1424" t="s">
        <v>76</v>
      </c>
      <c r="C6" s="1425"/>
      <c r="D6" s="1425"/>
      <c r="E6" s="1425"/>
      <c r="F6" s="319" t="s">
        <v>258</v>
      </c>
      <c r="G6" s="133"/>
      <c r="H6" s="134"/>
      <c r="I6" s="29"/>
    </row>
    <row r="7" spans="2:9" ht="15.75">
      <c r="B7" s="1426" t="s">
        <v>77</v>
      </c>
      <c r="C7" s="1427"/>
      <c r="D7" s="1427"/>
      <c r="E7" s="1427"/>
      <c r="F7" s="317" t="s">
        <v>366</v>
      </c>
      <c r="G7" s="133"/>
      <c r="H7" s="134"/>
      <c r="I7" s="29"/>
    </row>
    <row r="8" spans="2:9" ht="15.75">
      <c r="B8" s="1426" t="s">
        <v>78</v>
      </c>
      <c r="C8" s="1427"/>
      <c r="D8" s="1427"/>
      <c r="E8" s="1427"/>
      <c r="F8" s="314">
        <v>43133</v>
      </c>
      <c r="G8" s="133"/>
      <c r="H8" s="134"/>
      <c r="I8" s="29"/>
    </row>
    <row r="9" spans="2:9" ht="15.75">
      <c r="B9" s="1426" t="s">
        <v>183</v>
      </c>
      <c r="C9" s="1427"/>
      <c r="D9" s="1427"/>
      <c r="E9" s="1427"/>
      <c r="F9" s="314">
        <v>43314</v>
      </c>
      <c r="G9" s="133"/>
      <c r="H9" s="134"/>
      <c r="I9" s="29"/>
    </row>
    <row r="10" spans="2:9" ht="15.75">
      <c r="B10" s="1426" t="s">
        <v>184</v>
      </c>
      <c r="C10" s="1427"/>
      <c r="D10" s="1427"/>
      <c r="E10" s="1427"/>
      <c r="F10" s="315">
        <v>43014</v>
      </c>
      <c r="G10" s="133"/>
      <c r="H10" s="134"/>
      <c r="I10" s="29"/>
    </row>
    <row r="11" spans="2:9" ht="15.75">
      <c r="B11" s="1426" t="s">
        <v>97</v>
      </c>
      <c r="C11" s="1427"/>
      <c r="D11" s="1427"/>
      <c r="E11" s="1427"/>
      <c r="F11" s="317" t="s">
        <v>259</v>
      </c>
      <c r="G11" s="133"/>
      <c r="H11" s="134"/>
      <c r="I11" s="29"/>
    </row>
    <row r="12" spans="2:9" ht="15.75">
      <c r="B12" s="1426" t="s">
        <v>98</v>
      </c>
      <c r="C12" s="1427"/>
      <c r="D12" s="1427"/>
      <c r="E12" s="1427"/>
      <c r="F12" s="320" t="s">
        <v>260</v>
      </c>
      <c r="G12" s="133"/>
      <c r="H12" s="134"/>
      <c r="I12" s="29"/>
    </row>
    <row r="13" spans="2:9" ht="16.5" thickBot="1">
      <c r="B13" s="1428" t="s">
        <v>79</v>
      </c>
      <c r="C13" s="1429"/>
      <c r="D13" s="1429"/>
      <c r="E13" s="1429"/>
      <c r="F13" s="318" t="s">
        <v>110</v>
      </c>
      <c r="G13" s="133"/>
      <c r="H13" s="134"/>
      <c r="I13" s="29"/>
    </row>
    <row r="14" spans="2:9" ht="15.75">
      <c r="B14" s="5"/>
      <c r="C14" s="99"/>
      <c r="D14" s="21"/>
      <c r="E14" s="5"/>
      <c r="F14" s="29"/>
      <c r="G14" s="133"/>
      <c r="H14" s="134"/>
      <c r="I14" s="29"/>
    </row>
    <row r="15" spans="2:9" ht="15.75">
      <c r="B15" s="1420" t="s">
        <v>87</v>
      </c>
      <c r="C15" s="1420"/>
      <c r="D15" s="1420"/>
      <c r="E15" s="1420"/>
      <c r="F15" s="1420"/>
      <c r="G15" s="1420"/>
      <c r="H15" s="1420"/>
      <c r="I15" s="1420"/>
    </row>
    <row r="16" spans="2:9" ht="15.75">
      <c r="B16" s="1420" t="s">
        <v>185</v>
      </c>
      <c r="C16" s="1420"/>
      <c r="D16" s="1420"/>
      <c r="E16" s="1420"/>
      <c r="F16" s="1420"/>
      <c r="G16" s="1420"/>
      <c r="H16" s="1420"/>
      <c r="I16" s="1420"/>
    </row>
    <row r="17" spans="2:9" ht="15.75">
      <c r="B17" s="8"/>
      <c r="C17" s="27"/>
      <c r="D17" s="27"/>
      <c r="E17" s="43"/>
      <c r="F17" s="327"/>
      <c r="G17" s="327"/>
      <c r="H17" s="327"/>
      <c r="I17" s="327"/>
    </row>
    <row r="18" spans="2:9" ht="15.75">
      <c r="B18" s="55"/>
      <c r="C18" s="56"/>
      <c r="D18" s="57"/>
      <c r="E18" s="139"/>
      <c r="F18" s="55"/>
      <c r="G18" s="109"/>
      <c r="H18" s="111"/>
      <c r="I18" s="55"/>
    </row>
    <row r="19" spans="2:9" ht="15.75">
      <c r="B19" s="136"/>
      <c r="C19" s="137"/>
      <c r="D19" s="138"/>
      <c r="F19" s="139"/>
      <c r="G19" s="140"/>
      <c r="H19" s="141"/>
      <c r="I19" s="139"/>
    </row>
    <row r="20" spans="2:9" ht="15.75">
      <c r="C20" s="358" t="s">
        <v>176</v>
      </c>
      <c r="D20" s="359" t="s">
        <v>301</v>
      </c>
      <c r="E20" s="138"/>
    </row>
  </sheetData>
  <mergeCells count="12">
    <mergeCell ref="B15:I15"/>
    <mergeCell ref="B2:I2"/>
    <mergeCell ref="B3:I3"/>
    <mergeCell ref="B16:I16"/>
    <mergeCell ref="B6:E6"/>
    <mergeCell ref="B7:E7"/>
    <mergeCell ref="B8:E8"/>
    <mergeCell ref="B9:E9"/>
    <mergeCell ref="B10:E10"/>
    <mergeCell ref="B11:E11"/>
    <mergeCell ref="B12:E12"/>
    <mergeCell ref="B13:E13"/>
  </mergeCells>
  <pageMargins left="0.70866141732283505" right="0.28999999999999998" top="0.35433070866141703" bottom="0.27559055118110198" header="0.31496062992126" footer="0.31496062992126"/>
  <pageSetup paperSize="9"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50</vt:i4>
      </vt:variant>
      <vt:variant>
        <vt:lpstr>Named Ranges</vt:lpstr>
      </vt:variant>
      <vt:variant>
        <vt:i4>29</vt:i4>
      </vt:variant>
    </vt:vector>
  </HeadingPairs>
  <TitlesOfParts>
    <vt:vector size="79" baseType="lpstr">
      <vt:lpstr>A-1</vt:lpstr>
      <vt:lpstr>Directors</vt:lpstr>
      <vt:lpstr>ASSEST 1</vt:lpstr>
      <vt:lpstr>ASSEST 2</vt:lpstr>
      <vt:lpstr>ASSEST 3</vt:lpstr>
      <vt:lpstr>ASSET 4</vt:lpstr>
      <vt:lpstr>ASSEST 5</vt:lpstr>
      <vt:lpstr>2d 1</vt:lpstr>
      <vt:lpstr>2d-2</vt:lpstr>
      <vt:lpstr>2d-3</vt:lpstr>
      <vt:lpstr>Directors (2)</vt:lpstr>
      <vt:lpstr>2(a)Assets and Liabilitie Part1</vt:lpstr>
      <vt:lpstr>2(a)Assets and Liabilitie Part2</vt:lpstr>
      <vt:lpstr>2 (d) List of Financial Cred.</vt:lpstr>
      <vt:lpstr>Home-buyer</vt:lpstr>
      <vt:lpstr>Claims Trade Creditors</vt:lpstr>
      <vt:lpstr>Form d-employees</vt:lpstr>
      <vt:lpstr>2 g</vt:lpstr>
      <vt:lpstr>Litigation 2 h</vt:lpstr>
      <vt:lpstr>Asssets</vt:lpstr>
      <vt:lpstr>Valuation 2j</vt:lpstr>
      <vt:lpstr>Liquidation value due 2 k</vt:lpstr>
      <vt:lpstr>Sheet1</vt:lpstr>
      <vt:lpstr>List of creditors</vt:lpstr>
      <vt:lpstr>Secuities</vt:lpstr>
      <vt:lpstr> 2 (i) Workers_Employees Dues</vt:lpstr>
      <vt:lpstr>List of Summons (2)</vt:lpstr>
      <vt:lpstr>List of Litigation</vt:lpstr>
      <vt:lpstr>Civil Suit for Rendiation</vt:lpstr>
      <vt:lpstr>Sheet6</vt:lpstr>
      <vt:lpstr>List of Summons</vt:lpstr>
      <vt:lpstr>litigations</vt:lpstr>
      <vt:lpstr>Tamilnad Bank</vt:lpstr>
      <vt:lpstr>IFCI</vt:lpstr>
      <vt:lpstr>Corporation Bank</vt:lpstr>
      <vt:lpstr>Bank of Baroda</vt:lpstr>
      <vt:lpstr>Canara Bank</vt:lpstr>
      <vt:lpstr>Sheet5</vt:lpstr>
      <vt:lpstr>Sheet4</vt:lpstr>
      <vt:lpstr>2(d) Annexure</vt:lpstr>
      <vt:lpstr>SBI</vt:lpstr>
      <vt:lpstr>IDBI</vt:lpstr>
      <vt:lpstr>Central Bank of India</vt:lpstr>
      <vt:lpstr>UCO Bank</vt:lpstr>
      <vt:lpstr>Dena Bank</vt:lpstr>
      <vt:lpstr>Union Bank Of India</vt:lpstr>
      <vt:lpstr>Sheet2</vt:lpstr>
      <vt:lpstr>Sheet7</vt:lpstr>
      <vt:lpstr>working sheet of claims-1</vt:lpstr>
      <vt:lpstr>working sheet 2</vt:lpstr>
      <vt:lpstr>'Directors (2)'!aShowDirectorMasterdata</vt:lpstr>
      <vt:lpstr>' 2 (i) Workers_Employees Dues'!Print_Area</vt:lpstr>
      <vt:lpstr>'2 (d) List of Financial Cred.'!Print_Area</vt:lpstr>
      <vt:lpstr>'2 g'!Print_Area</vt:lpstr>
      <vt:lpstr>'2(a)Assets and Liabilitie Part1'!Print_Area</vt:lpstr>
      <vt:lpstr>'2(a)Assets and Liabilitie Part2'!Print_Area</vt:lpstr>
      <vt:lpstr>'2d 1'!Print_Area</vt:lpstr>
      <vt:lpstr>'2d-2'!Print_Area</vt:lpstr>
      <vt:lpstr>'2d-3'!Print_Area</vt:lpstr>
      <vt:lpstr>'A-1'!Print_Area</vt:lpstr>
      <vt:lpstr>'ASSEST 3'!Print_Area</vt:lpstr>
      <vt:lpstr>'ASSEST 5'!Print_Area</vt:lpstr>
      <vt:lpstr>Asssets!Print_Area</vt:lpstr>
      <vt:lpstr>'Claims Trade Creditors'!Print_Area</vt:lpstr>
      <vt:lpstr>Directors!Print_Area</vt:lpstr>
      <vt:lpstr>'Directors (2)'!Print_Area</vt:lpstr>
      <vt:lpstr>'Form d-employees'!Print_Area</vt:lpstr>
      <vt:lpstr>'Home-buyer'!Print_Area</vt:lpstr>
      <vt:lpstr>'Liquidation value due 2 k'!Print_Area</vt:lpstr>
      <vt:lpstr>'Litigation 2 h'!Print_Area</vt:lpstr>
      <vt:lpstr>Secuities!Print_Area</vt:lpstr>
      <vt:lpstr>'Valuation 2j'!Print_Area</vt:lpstr>
      <vt:lpstr>'2(a)Assets and Liabilitie Part1'!Print_Titles</vt:lpstr>
      <vt:lpstr>'Form d-employees'!Print_Titles</vt:lpstr>
      <vt:lpstr>'Home-buyer'!Print_Titles</vt:lpstr>
      <vt:lpstr>'List of Summons'!Print_Titles</vt:lpstr>
      <vt:lpstr>'List of Summons (2)'!Print_Titles</vt:lpstr>
      <vt:lpstr>litigations!Print_Titles</vt:lpstr>
      <vt:lpstr>'Valuation 2j'!Print_Titles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2020-05-05T06:19:54Z</dcterms:modified>
</cp:coreProperties>
</file>